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Y:\Payroll Office\Calculators for Taxes\Website versions\"/>
    </mc:Choice>
  </mc:AlternateContent>
  <xr:revisionPtr revIDLastSave="0" documentId="13_ncr:1_{BD55618A-91C0-42F5-B3AD-8A1CB639DF95}" xr6:coauthVersionLast="36" xr6:coauthVersionMax="36" xr10:uidLastSave="{00000000-0000-0000-0000-000000000000}"/>
  <bookViews>
    <workbookView xWindow="0" yWindow="0" windowWidth="15330" windowHeight="6120" tabRatio="834" xr2:uid="{00000000-000D-0000-FFFF-FFFF00000000}"/>
  </bookViews>
  <sheets>
    <sheet name="Pay Check Comparision" sheetId="1" r:id="rId1"/>
    <sheet name="Filing Status" sheetId="2" state="hidden" r:id="rId2"/>
    <sheet name="State Withholding Hidden" sheetId="3" state="hidden" r:id="rId3"/>
    <sheet name="Federal Withholding  Hidden " sheetId="5" state="hidden" r:id="rId4"/>
    <sheet name="2022 Percentage Method Tables" sheetId="6" state="hidden" r:id="rId5"/>
  </sheets>
  <definedNames>
    <definedName name="_xlnm.Print_Area" localSheetId="0">'Pay Check Comparision'!$A:$D,'Pay Check Comparision'!$H:$I,'Pay Check Comparision'!$M:$N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10" i="1"/>
  <c r="N35" i="1" l="1"/>
  <c r="I35" i="1"/>
  <c r="D35" i="1"/>
  <c r="N34" i="1"/>
  <c r="N33" i="1"/>
  <c r="I34" i="1"/>
  <c r="I33" i="1"/>
  <c r="D34" i="1"/>
  <c r="D33" i="1"/>
  <c r="D32" i="1"/>
  <c r="I32" i="1" s="1"/>
  <c r="N32" i="1" s="1"/>
  <c r="N36" i="1"/>
  <c r="D21" i="1"/>
  <c r="J4" i="3"/>
  <c r="L17" i="3" s="1"/>
  <c r="F43" i="5"/>
  <c r="C7" i="1"/>
  <c r="D7" i="1" s="1"/>
  <c r="J15" i="3"/>
  <c r="K26" i="3"/>
  <c r="L26" i="3"/>
  <c r="J26" i="3"/>
  <c r="K23" i="3"/>
  <c r="L23" i="3"/>
  <c r="J23" i="3"/>
  <c r="K13" i="3"/>
  <c r="L13" i="3"/>
  <c r="J13" i="3"/>
  <c r="J14" i="3"/>
  <c r="K14" i="3"/>
  <c r="L14" i="3"/>
  <c r="K15" i="3"/>
  <c r="L15" i="3"/>
  <c r="D13" i="3"/>
  <c r="E13" i="3"/>
  <c r="C13" i="3"/>
  <c r="D26" i="3"/>
  <c r="E26" i="3"/>
  <c r="C26" i="3"/>
  <c r="D23" i="3"/>
  <c r="E23" i="3"/>
  <c r="C23" i="3"/>
  <c r="I5" i="3"/>
  <c r="C14" i="3"/>
  <c r="B80" i="6"/>
  <c r="E81" i="6" s="1"/>
  <c r="B79" i="6"/>
  <c r="E80" i="6" s="1"/>
  <c r="B78" i="6"/>
  <c r="E79" i="6" s="1"/>
  <c r="B77" i="6"/>
  <c r="E78" i="6" s="1"/>
  <c r="B76" i="6"/>
  <c r="E77" i="6" s="1"/>
  <c r="B75" i="6"/>
  <c r="E76" i="6" s="1"/>
  <c r="B74" i="6"/>
  <c r="E75" i="6" s="1"/>
  <c r="B70" i="6"/>
  <c r="E71" i="6" s="1"/>
  <c r="B69" i="6"/>
  <c r="E70" i="6" s="1"/>
  <c r="B68" i="6"/>
  <c r="E69" i="6" s="1"/>
  <c r="B67" i="6"/>
  <c r="E68" i="6" s="1"/>
  <c r="B66" i="6"/>
  <c r="E67" i="6" s="1"/>
  <c r="B65" i="6"/>
  <c r="E66" i="6" s="1"/>
  <c r="B64" i="6"/>
  <c r="E65" i="6" s="1"/>
  <c r="B60" i="6"/>
  <c r="E61" i="6" s="1"/>
  <c r="B59" i="6"/>
  <c r="E60" i="6" s="1"/>
  <c r="B58" i="6"/>
  <c r="E59" i="6" s="1"/>
  <c r="B57" i="6"/>
  <c r="E58" i="6" s="1"/>
  <c r="B56" i="6"/>
  <c r="E57" i="6" s="1"/>
  <c r="B55" i="6"/>
  <c r="E56" i="6" s="1"/>
  <c r="B54" i="6"/>
  <c r="E55" i="6" s="1"/>
  <c r="J70" i="6"/>
  <c r="M71" i="6" s="1"/>
  <c r="J69" i="6"/>
  <c r="M70" i="6" s="1"/>
  <c r="J68" i="6"/>
  <c r="M69" i="6" s="1"/>
  <c r="J67" i="6"/>
  <c r="M68" i="6" s="1"/>
  <c r="J66" i="6"/>
  <c r="M67" i="6" s="1"/>
  <c r="J65" i="6"/>
  <c r="M66" i="6" s="1"/>
  <c r="J64" i="6"/>
  <c r="M65" i="6" s="1"/>
  <c r="J60" i="6"/>
  <c r="M61" i="6" s="1"/>
  <c r="J59" i="6"/>
  <c r="M60" i="6" s="1"/>
  <c r="J58" i="6"/>
  <c r="M59" i="6" s="1"/>
  <c r="J57" i="6"/>
  <c r="M58" i="6" s="1"/>
  <c r="J56" i="6"/>
  <c r="M57" i="6" s="1"/>
  <c r="J55" i="6"/>
  <c r="M56" i="6" s="1"/>
  <c r="J54" i="6"/>
  <c r="M55" i="6" s="1"/>
  <c r="J80" i="6"/>
  <c r="M81" i="6" s="1"/>
  <c r="J79" i="6"/>
  <c r="M80" i="6" s="1"/>
  <c r="J78" i="6"/>
  <c r="M79" i="6" s="1"/>
  <c r="J77" i="6"/>
  <c r="M78" i="6" s="1"/>
  <c r="J76" i="6"/>
  <c r="M77" i="6" s="1"/>
  <c r="J75" i="6"/>
  <c r="M76" i="6" s="1"/>
  <c r="J74" i="6"/>
  <c r="M75" i="6" s="1"/>
  <c r="E15" i="3"/>
  <c r="D15" i="3"/>
  <c r="E14" i="3"/>
  <c r="D14" i="3"/>
  <c r="K18" i="3" l="1"/>
  <c r="K19" i="3" s="1"/>
  <c r="J18" i="3"/>
  <c r="J19" i="3" s="1"/>
  <c r="I21" i="1"/>
  <c r="N21" i="1" s="1"/>
  <c r="K17" i="3"/>
  <c r="J17" i="3"/>
  <c r="L18" i="3"/>
  <c r="L19" i="3" s="1"/>
  <c r="B3" i="3"/>
  <c r="C17" i="3" s="1"/>
  <c r="B4" i="3"/>
  <c r="E17" i="3" l="1"/>
  <c r="D17" i="3"/>
  <c r="I14" i="5"/>
  <c r="H14" i="5"/>
  <c r="C15" i="1"/>
  <c r="N15" i="1" s="1"/>
  <c r="M50" i="1"/>
  <c r="M49" i="1"/>
  <c r="M48" i="1"/>
  <c r="M45" i="1"/>
  <c r="E43" i="5"/>
  <c r="H50" i="1"/>
  <c r="H49" i="1"/>
  <c r="H48" i="1"/>
  <c r="H45" i="1"/>
  <c r="D31" i="1"/>
  <c r="I31" i="1" s="1"/>
  <c r="N31" i="1" s="1"/>
  <c r="P15" i="1" l="1"/>
  <c r="H20" i="5"/>
  <c r="D17" i="1"/>
  <c r="I17" i="1" s="1"/>
  <c r="N17" i="1" s="1"/>
  <c r="P40" i="1" l="1"/>
  <c r="N42" i="1" s="1"/>
  <c r="I7" i="1"/>
  <c r="I8" i="1"/>
  <c r="I36" i="1"/>
  <c r="I37" i="1" s="1"/>
  <c r="D36" i="1"/>
  <c r="F15" i="1"/>
  <c r="K15" i="1" s="1"/>
  <c r="D24" i="1"/>
  <c r="I24" i="1" s="1"/>
  <c r="N24" i="1" s="1"/>
  <c r="N7" i="1" l="1"/>
  <c r="K23" i="6"/>
  <c r="K24" i="6"/>
  <c r="K25" i="6"/>
  <c r="K26" i="6"/>
  <c r="K27" i="6"/>
  <c r="K28" i="6"/>
  <c r="K29" i="6"/>
  <c r="K22" i="6"/>
  <c r="J38" i="6"/>
  <c r="K33" i="6"/>
  <c r="K34" i="6"/>
  <c r="K35" i="6"/>
  <c r="K36" i="6"/>
  <c r="K37" i="6"/>
  <c r="K38" i="6"/>
  <c r="K39" i="6"/>
  <c r="K32" i="6"/>
  <c r="J33" i="6"/>
  <c r="J34" i="6"/>
  <c r="J35" i="6"/>
  <c r="J36" i="6"/>
  <c r="J37" i="6"/>
  <c r="J32" i="6"/>
  <c r="I33" i="6"/>
  <c r="I34" i="6"/>
  <c r="I35" i="6"/>
  <c r="I36" i="6"/>
  <c r="I37" i="6"/>
  <c r="I38" i="6"/>
  <c r="I39" i="6"/>
  <c r="I32" i="6"/>
  <c r="J23" i="6"/>
  <c r="J24" i="6"/>
  <c r="J25" i="6"/>
  <c r="J26" i="6"/>
  <c r="J27" i="6"/>
  <c r="J28" i="6"/>
  <c r="J22" i="6"/>
  <c r="I23" i="6"/>
  <c r="I24" i="6"/>
  <c r="I25" i="6"/>
  <c r="I26" i="6"/>
  <c r="I27" i="6"/>
  <c r="I28" i="6"/>
  <c r="I29" i="6"/>
  <c r="I22" i="6"/>
  <c r="K13" i="6"/>
  <c r="K14" i="6"/>
  <c r="K15" i="6"/>
  <c r="K16" i="6"/>
  <c r="K17" i="6"/>
  <c r="K18" i="6"/>
  <c r="K19" i="6"/>
  <c r="K12" i="6"/>
  <c r="J13" i="6"/>
  <c r="J14" i="6"/>
  <c r="J15" i="6"/>
  <c r="J16" i="6"/>
  <c r="J17" i="6"/>
  <c r="J18" i="6"/>
  <c r="J12" i="6"/>
  <c r="I13" i="6"/>
  <c r="I14" i="6"/>
  <c r="I15" i="6"/>
  <c r="I16" i="6"/>
  <c r="I17" i="6"/>
  <c r="I18" i="6"/>
  <c r="I19" i="6"/>
  <c r="I12" i="6"/>
  <c r="C33" i="6"/>
  <c r="C34" i="6"/>
  <c r="C35" i="6"/>
  <c r="C36" i="6"/>
  <c r="C37" i="6"/>
  <c r="C38" i="6"/>
  <c r="C39" i="6"/>
  <c r="C32" i="6"/>
  <c r="B33" i="6"/>
  <c r="B34" i="6"/>
  <c r="B35" i="6"/>
  <c r="B36" i="6"/>
  <c r="B37" i="6"/>
  <c r="B38" i="6"/>
  <c r="B32" i="6"/>
  <c r="A33" i="6"/>
  <c r="A34" i="6"/>
  <c r="A35" i="6"/>
  <c r="A36" i="6"/>
  <c r="A37" i="6"/>
  <c r="A38" i="6"/>
  <c r="A39" i="6"/>
  <c r="A32" i="6"/>
  <c r="C23" i="6"/>
  <c r="C24" i="6"/>
  <c r="C25" i="6"/>
  <c r="C26" i="6"/>
  <c r="C27" i="6"/>
  <c r="C28" i="6"/>
  <c r="C29" i="6"/>
  <c r="C22" i="6"/>
  <c r="B23" i="6"/>
  <c r="B24" i="6"/>
  <c r="B25" i="6"/>
  <c r="B26" i="6"/>
  <c r="B27" i="6"/>
  <c r="B28" i="6"/>
  <c r="B22" i="6"/>
  <c r="A23" i="6"/>
  <c r="A24" i="6"/>
  <c r="A25" i="6"/>
  <c r="A26" i="6"/>
  <c r="A27" i="6"/>
  <c r="A28" i="6"/>
  <c r="A29" i="6"/>
  <c r="A22" i="6"/>
  <c r="C13" i="6"/>
  <c r="C14" i="6"/>
  <c r="C15" i="6"/>
  <c r="C16" i="6"/>
  <c r="C17" i="6"/>
  <c r="C18" i="6"/>
  <c r="C19" i="6"/>
  <c r="C12" i="6"/>
  <c r="B13" i="6"/>
  <c r="B14" i="6"/>
  <c r="B15" i="6"/>
  <c r="B16" i="6"/>
  <c r="B17" i="6"/>
  <c r="B18" i="6"/>
  <c r="B12" i="6"/>
  <c r="A13" i="6"/>
  <c r="A14" i="6"/>
  <c r="A15" i="6"/>
  <c r="A16" i="6"/>
  <c r="A17" i="6"/>
  <c r="A18" i="6"/>
  <c r="A19" i="6"/>
  <c r="A12" i="6"/>
  <c r="N11" i="1" l="1"/>
  <c r="E15" i="1"/>
  <c r="J15" i="1" s="1"/>
  <c r="D10" i="1"/>
  <c r="I11" i="1" s="1"/>
  <c r="J7" i="1" s="1"/>
  <c r="D9" i="1"/>
  <c r="B5" i="3"/>
  <c r="M34" i="6"/>
  <c r="M35" i="6"/>
  <c r="M36" i="6"/>
  <c r="M39" i="6"/>
  <c r="M32" i="6"/>
  <c r="M23" i="6"/>
  <c r="M24" i="6"/>
  <c r="M25" i="6"/>
  <c r="M26" i="6"/>
  <c r="M27" i="6"/>
  <c r="M28" i="6"/>
  <c r="M29" i="6"/>
  <c r="M22" i="6"/>
  <c r="M13" i="6"/>
  <c r="M14" i="6"/>
  <c r="M15" i="6"/>
  <c r="M16" i="6"/>
  <c r="M18" i="6"/>
  <c r="M19" i="6"/>
  <c r="E33" i="6"/>
  <c r="E34" i="6"/>
  <c r="E35" i="6"/>
  <c r="E36" i="6"/>
  <c r="E37" i="6"/>
  <c r="E38" i="6"/>
  <c r="E39" i="6"/>
  <c r="E32" i="6"/>
  <c r="E13" i="6"/>
  <c r="E16" i="6"/>
  <c r="E17" i="6"/>
  <c r="E18" i="6"/>
  <c r="E19" i="6"/>
  <c r="E12" i="6"/>
  <c r="E23" i="6"/>
  <c r="E24" i="6"/>
  <c r="E25" i="6"/>
  <c r="E26" i="6"/>
  <c r="E27" i="6"/>
  <c r="E28" i="6"/>
  <c r="E29" i="6"/>
  <c r="E22" i="6"/>
  <c r="E14" i="6"/>
  <c r="E15" i="6"/>
  <c r="M38" i="6"/>
  <c r="M37" i="6"/>
  <c r="M33" i="6"/>
  <c r="M17" i="6"/>
  <c r="M12" i="6"/>
  <c r="D16" i="1"/>
  <c r="I16" i="1" s="1"/>
  <c r="N16" i="1" s="1"/>
  <c r="D25" i="1"/>
  <c r="I25" i="1" s="1"/>
  <c r="N25" i="1" s="1"/>
  <c r="D18" i="1"/>
  <c r="I18" i="1" l="1"/>
  <c r="N18" i="1" s="1"/>
  <c r="J8" i="1"/>
  <c r="K8" i="1" s="1"/>
  <c r="J9" i="1"/>
  <c r="J10" i="1"/>
  <c r="D15" i="1"/>
  <c r="I15" i="1" s="1"/>
  <c r="D11" i="1"/>
  <c r="A48" i="1"/>
  <c r="A49" i="1"/>
  <c r="A50" i="1"/>
  <c r="A45" i="1"/>
  <c r="A47" i="1"/>
  <c r="D43" i="5"/>
  <c r="E7" i="1" l="1"/>
  <c r="E21" i="1" s="1"/>
  <c r="J25" i="1"/>
  <c r="K18" i="1"/>
  <c r="J24" i="1"/>
  <c r="K25" i="1"/>
  <c r="K16" i="1"/>
  <c r="J17" i="1"/>
  <c r="K17" i="1"/>
  <c r="K24" i="1"/>
  <c r="J18" i="1"/>
  <c r="J16" i="1"/>
  <c r="J11" i="1"/>
  <c r="E9" i="1"/>
  <c r="E10" i="1"/>
  <c r="H18" i="5"/>
  <c r="I10" i="5"/>
  <c r="H10" i="5"/>
  <c r="F21" i="1" l="1"/>
  <c r="F19" i="5"/>
  <c r="F20" i="5" s="1"/>
  <c r="E19" i="5"/>
  <c r="E20" i="5" s="1"/>
  <c r="F14" i="5"/>
  <c r="E14" i="5"/>
  <c r="E11" i="5"/>
  <c r="F13" i="5"/>
  <c r="E38" i="5"/>
  <c r="E39" i="5" s="1"/>
  <c r="F11" i="5"/>
  <c r="F38" i="5"/>
  <c r="F39" i="5" s="1"/>
  <c r="E13" i="5"/>
  <c r="O18" i="1"/>
  <c r="O25" i="1"/>
  <c r="O16" i="1"/>
  <c r="O17" i="1"/>
  <c r="O24" i="1"/>
  <c r="P16" i="1"/>
  <c r="P24" i="1"/>
  <c r="P25" i="1"/>
  <c r="P17" i="1"/>
  <c r="P18" i="1"/>
  <c r="E16" i="1"/>
  <c r="E17" i="1"/>
  <c r="E24" i="1"/>
  <c r="E18" i="1"/>
  <c r="E25" i="1"/>
  <c r="F17" i="1"/>
  <c r="F24" i="1"/>
  <c r="F18" i="1"/>
  <c r="F25" i="1"/>
  <c r="F16" i="1"/>
  <c r="E11" i="1"/>
  <c r="D14" i="5"/>
  <c r="D38" i="5"/>
  <c r="D39" i="5" s="1"/>
  <c r="D13" i="5"/>
  <c r="D11" i="5"/>
  <c r="D19" i="5"/>
  <c r="D20" i="5" s="1"/>
  <c r="F15" i="5" l="1"/>
  <c r="E15" i="5"/>
  <c r="D15" i="5"/>
  <c r="C15" i="3" l="1"/>
  <c r="C18" i="3" s="1"/>
  <c r="C19" i="3" s="1"/>
  <c r="D20" i="1"/>
  <c r="D22" i="1"/>
  <c r="D23" i="1"/>
  <c r="I23" i="1" s="1"/>
  <c r="N23" i="1" s="1"/>
  <c r="D26" i="1"/>
  <c r="I26" i="1" s="1"/>
  <c r="N26" i="1" s="1"/>
  <c r="D19" i="1"/>
  <c r="I22" i="1" l="1"/>
  <c r="N22" i="1" s="1"/>
  <c r="I19" i="1"/>
  <c r="I20" i="1"/>
  <c r="N20" i="1" s="1"/>
  <c r="P20" i="1" s="1"/>
  <c r="O23" i="1"/>
  <c r="P23" i="1"/>
  <c r="E18" i="3"/>
  <c r="E19" i="3" s="1"/>
  <c r="D18" i="3"/>
  <c r="D19" i="3" s="1"/>
  <c r="J26" i="1"/>
  <c r="K26" i="1"/>
  <c r="K23" i="1"/>
  <c r="J23" i="1"/>
  <c r="J19" i="1"/>
  <c r="K19" i="1"/>
  <c r="J20" i="1"/>
  <c r="K20" i="1"/>
  <c r="O26" i="1"/>
  <c r="P26" i="1"/>
  <c r="E19" i="1"/>
  <c r="F19" i="1"/>
  <c r="E26" i="1"/>
  <c r="F26" i="1"/>
  <c r="E20" i="1"/>
  <c r="F20" i="1"/>
  <c r="E22" i="1"/>
  <c r="F22" i="1"/>
  <c r="E23" i="1"/>
  <c r="F23" i="1"/>
  <c r="D37" i="1"/>
  <c r="J22" i="1" l="1"/>
  <c r="K22" i="1"/>
  <c r="K27" i="1" s="1"/>
  <c r="K40" i="1" s="1"/>
  <c r="I27" i="1"/>
  <c r="O22" i="1"/>
  <c r="P22" i="1"/>
  <c r="N19" i="1"/>
  <c r="N27" i="1"/>
  <c r="O20" i="1"/>
  <c r="F27" i="1"/>
  <c r="F40" i="1" s="1"/>
  <c r="E27" i="1"/>
  <c r="E40" i="1" s="1"/>
  <c r="J27" i="1"/>
  <c r="J40" i="1" s="1"/>
  <c r="I41" i="1" s="1"/>
  <c r="E5" i="5" s="1"/>
  <c r="E7" i="5" s="1"/>
  <c r="O19" i="1" l="1"/>
  <c r="O27" i="1" s="1"/>
  <c r="O40" i="1" s="1"/>
  <c r="N41" i="1" s="1"/>
  <c r="F5" i="5" s="1"/>
  <c r="F7" i="5" s="1"/>
  <c r="F21" i="5" s="1"/>
  <c r="P19" i="1"/>
  <c r="P27" i="1" s="1"/>
  <c r="N51" i="1" s="1"/>
  <c r="E21" i="5"/>
  <c r="E12" i="5"/>
  <c r="E16" i="5" s="1"/>
  <c r="I42" i="1"/>
  <c r="I66" i="1" s="1"/>
  <c r="I67" i="1" s="1"/>
  <c r="F12" i="5" l="1"/>
  <c r="F16" i="5" s="1"/>
  <c r="F28" i="5" s="1"/>
  <c r="N61" i="1"/>
  <c r="L11" i="3" s="1"/>
  <c r="N66" i="1"/>
  <c r="N67" i="1" s="1"/>
  <c r="E28" i="5"/>
  <c r="I61" i="1"/>
  <c r="K11" i="3" s="1"/>
  <c r="I51" i="1"/>
  <c r="E11" i="3" l="1"/>
  <c r="E12" i="3" s="1"/>
  <c r="E20" i="3" s="1"/>
  <c r="E21" i="3" s="1"/>
  <c r="N6" i="6"/>
  <c r="P19" i="6" s="1"/>
  <c r="F6" i="6"/>
  <c r="K25" i="3"/>
  <c r="K27" i="3" s="1"/>
  <c r="K12" i="3"/>
  <c r="L12" i="3"/>
  <c r="L20" i="3" s="1"/>
  <c r="L21" i="3" s="1"/>
  <c r="L25" i="3"/>
  <c r="L27" i="3" s="1"/>
  <c r="E6" i="6"/>
  <c r="M6" i="6"/>
  <c r="D11" i="3"/>
  <c r="D27" i="1"/>
  <c r="E25" i="3" l="1"/>
  <c r="E27" i="3" s="1"/>
  <c r="E22" i="3"/>
  <c r="E24" i="3" s="1"/>
  <c r="P23" i="6"/>
  <c r="P35" i="6"/>
  <c r="P24" i="6"/>
  <c r="P22" i="6"/>
  <c r="P17" i="6"/>
  <c r="P18" i="6"/>
  <c r="P25" i="6"/>
  <c r="P13" i="6"/>
  <c r="P28" i="6"/>
  <c r="P26" i="6"/>
  <c r="P29" i="6"/>
  <c r="P37" i="6"/>
  <c r="P12" i="6"/>
  <c r="P33" i="6"/>
  <c r="P34" i="6"/>
  <c r="P39" i="6"/>
  <c r="P15" i="6"/>
  <c r="P36" i="6"/>
  <c r="P14" i="6"/>
  <c r="P16" i="6"/>
  <c r="P27" i="6"/>
  <c r="P32" i="6"/>
  <c r="P38" i="6"/>
  <c r="H36" i="6"/>
  <c r="H34" i="6"/>
  <c r="H30" i="6"/>
  <c r="H35" i="6"/>
  <c r="H17" i="6"/>
  <c r="H16" i="6"/>
  <c r="H39" i="6"/>
  <c r="H27" i="6"/>
  <c r="H33" i="6"/>
  <c r="H22" i="6"/>
  <c r="H24" i="6"/>
  <c r="H14" i="6"/>
  <c r="H18" i="6"/>
  <c r="H20" i="6"/>
  <c r="H15" i="6"/>
  <c r="H13" i="6"/>
  <c r="H19" i="6"/>
  <c r="H37" i="6"/>
  <c r="H38" i="6"/>
  <c r="H32" i="6"/>
  <c r="H28" i="6"/>
  <c r="H12" i="6"/>
  <c r="H31" i="6"/>
  <c r="H29" i="6"/>
  <c r="H26" i="6"/>
  <c r="H23" i="6"/>
  <c r="H25" i="6"/>
  <c r="H21" i="6"/>
  <c r="L22" i="3"/>
  <c r="L24" i="3" s="1"/>
  <c r="L28" i="3" s="1"/>
  <c r="L10" i="3" s="1"/>
  <c r="K22" i="3"/>
  <c r="K24" i="3" s="1"/>
  <c r="K20" i="3"/>
  <c r="K21" i="3" s="1"/>
  <c r="D12" i="3"/>
  <c r="D22" i="3" s="1"/>
  <c r="D24" i="3" s="1"/>
  <c r="D25" i="3"/>
  <c r="D27" i="3" s="1"/>
  <c r="O34" i="6"/>
  <c r="O13" i="6"/>
  <c r="O16" i="6"/>
  <c r="O33" i="6"/>
  <c r="O18" i="6"/>
  <c r="O25" i="6"/>
  <c r="O12" i="6"/>
  <c r="O27" i="6"/>
  <c r="O36" i="6"/>
  <c r="O38" i="6"/>
  <c r="O19" i="6"/>
  <c r="O26" i="6"/>
  <c r="O23" i="6"/>
  <c r="O24" i="6"/>
  <c r="O35" i="6"/>
  <c r="O39" i="6"/>
  <c r="O15" i="6"/>
  <c r="O28" i="6"/>
  <c r="O22" i="6"/>
  <c r="O17" i="6"/>
  <c r="O32" i="6"/>
  <c r="O29" i="6"/>
  <c r="O14" i="6"/>
  <c r="O37" i="6"/>
  <c r="G34" i="6"/>
  <c r="G37" i="6"/>
  <c r="G32" i="6"/>
  <c r="G38" i="6"/>
  <c r="G22" i="6"/>
  <c r="G13" i="6"/>
  <c r="G14" i="6"/>
  <c r="G39" i="6"/>
  <c r="G25" i="6"/>
  <c r="G17" i="6"/>
  <c r="G33" i="6"/>
  <c r="G15" i="6"/>
  <c r="G28" i="6"/>
  <c r="G27" i="6"/>
  <c r="G36" i="6"/>
  <c r="G29" i="6"/>
  <c r="G26" i="6"/>
  <c r="G35" i="6"/>
  <c r="G18" i="6"/>
  <c r="G19" i="6"/>
  <c r="G23" i="6"/>
  <c r="G16" i="6"/>
  <c r="G24" i="6"/>
  <c r="G12" i="6"/>
  <c r="D42" i="1"/>
  <c r="D51" i="1" s="1"/>
  <c r="E28" i="3" l="1"/>
  <c r="E10" i="3" s="1"/>
  <c r="N62" i="1" s="1"/>
  <c r="N7" i="6"/>
  <c r="F7" i="6"/>
  <c r="K28" i="3"/>
  <c r="K10" i="3" s="1"/>
  <c r="D20" i="3"/>
  <c r="D21" i="3" s="1"/>
  <c r="D28" i="3" s="1"/>
  <c r="D10" i="3" s="1"/>
  <c r="M7" i="6"/>
  <c r="E7" i="6"/>
  <c r="D41" i="1"/>
  <c r="D66" i="1" s="1"/>
  <c r="F34" i="5" l="1"/>
  <c r="F35" i="5" s="1"/>
  <c r="F40" i="5" s="1"/>
  <c r="F44" i="5" s="1"/>
  <c r="N52" i="1" s="1"/>
  <c r="N53" i="1" s="1"/>
  <c r="N71" i="1" s="1"/>
  <c r="N3" i="1" s="1"/>
  <c r="D61" i="1"/>
  <c r="C11" i="3" s="1"/>
  <c r="C12" i="3" s="1"/>
  <c r="F41" i="1"/>
  <c r="D5" i="5"/>
  <c r="D7" i="5" s="1"/>
  <c r="E34" i="5"/>
  <c r="E35" i="5" s="1"/>
  <c r="E40" i="5" s="1"/>
  <c r="E44" i="5" s="1"/>
  <c r="I52" i="1" s="1"/>
  <c r="I53" i="1" s="1"/>
  <c r="D67" i="1"/>
  <c r="J11" i="3" l="1"/>
  <c r="J25" i="3" s="1"/>
  <c r="J27" i="3" s="1"/>
  <c r="C25" i="3"/>
  <c r="C27" i="3" s="1"/>
  <c r="C22" i="3"/>
  <c r="C24" i="3" s="1"/>
  <c r="C20" i="3"/>
  <c r="C21" i="3" s="1"/>
  <c r="D21" i="5"/>
  <c r="D12" i="5"/>
  <c r="D16" i="5" s="1"/>
  <c r="J12" i="3" l="1"/>
  <c r="J22" i="3" s="1"/>
  <c r="J24" i="3" s="1"/>
  <c r="C28" i="3"/>
  <c r="C10" i="3" s="1"/>
  <c r="D28" i="5"/>
  <c r="J20" i="3" l="1"/>
  <c r="J21" i="3" s="1"/>
  <c r="J28" i="3" s="1"/>
  <c r="J10" i="3" s="1"/>
  <c r="D6" i="6"/>
  <c r="F18" i="6" s="1"/>
  <c r="L6" i="6"/>
  <c r="I62" i="1" l="1"/>
  <c r="I71" i="1" s="1"/>
  <c r="I3" i="1" s="1"/>
  <c r="D62" i="1"/>
  <c r="F29" i="6"/>
  <c r="F38" i="6"/>
  <c r="F22" i="6"/>
  <c r="F15" i="6"/>
  <c r="F35" i="6"/>
  <c r="F14" i="6"/>
  <c r="F33" i="6"/>
  <c r="F24" i="6"/>
  <c r="F12" i="6"/>
  <c r="F39" i="6"/>
  <c r="F34" i="6"/>
  <c r="F28" i="6"/>
  <c r="F36" i="6"/>
  <c r="F16" i="6"/>
  <c r="F27" i="6"/>
  <c r="F13" i="6"/>
  <c r="N12" i="6"/>
  <c r="N38" i="6"/>
  <c r="N14" i="6"/>
  <c r="N36" i="6"/>
  <c r="N33" i="6"/>
  <c r="N25" i="6"/>
  <c r="N17" i="6"/>
  <c r="N23" i="6"/>
  <c r="N39" i="6"/>
  <c r="N35" i="6"/>
  <c r="N28" i="6"/>
  <c r="N22" i="6"/>
  <c r="N29" i="6"/>
  <c r="N26" i="6"/>
  <c r="N24" i="6"/>
  <c r="N13" i="6"/>
  <c r="N32" i="6"/>
  <c r="N16" i="6"/>
  <c r="N18" i="6"/>
  <c r="N37" i="6"/>
  <c r="N27" i="6"/>
  <c r="N15" i="6"/>
  <c r="N19" i="6"/>
  <c r="N34" i="6"/>
  <c r="F19" i="6"/>
  <c r="F37" i="6"/>
  <c r="F32" i="6"/>
  <c r="F17" i="6"/>
  <c r="F23" i="6"/>
  <c r="F26" i="6"/>
  <c r="F25" i="6"/>
  <c r="D7" i="6" l="1"/>
  <c r="L7" i="6"/>
  <c r="D34" i="5" l="1"/>
  <c r="D35" i="5" s="1"/>
  <c r="D40" i="5" s="1"/>
  <c r="D44" i="5" s="1"/>
  <c r="D52" i="1" s="1"/>
  <c r="D53" i="1" s="1"/>
  <c r="D71" i="1" s="1"/>
  <c r="D3" i="1" l="1"/>
</calcChain>
</file>

<file path=xl/sharedStrings.xml><?xml version="1.0" encoding="utf-8"?>
<sst xmlns="http://schemas.openxmlformats.org/spreadsheetml/2006/main" count="379" uniqueCount="204">
  <si>
    <t>Federal Withholdings</t>
  </si>
  <si>
    <t xml:space="preserve">Single </t>
  </si>
  <si>
    <t>Married</t>
  </si>
  <si>
    <t>Marital Status</t>
  </si>
  <si>
    <t>Pre-Tax Deductions</t>
  </si>
  <si>
    <t>Other Pre-tax Deductions</t>
  </si>
  <si>
    <t>Total Pre-tax Deductions</t>
  </si>
  <si>
    <t>Federal Taxable Wages</t>
  </si>
  <si>
    <t xml:space="preserve">Total Federal Tax </t>
  </si>
  <si>
    <t>Head of Household</t>
  </si>
  <si>
    <t>State Withholdings</t>
  </si>
  <si>
    <t xml:space="preserve">Marital Status </t>
  </si>
  <si>
    <t>Filing Status - Form W4</t>
  </si>
  <si>
    <t>Number of Exemptions - Form L-4</t>
  </si>
  <si>
    <t>Total State Tax</t>
  </si>
  <si>
    <t xml:space="preserve">Total Net Pay </t>
  </si>
  <si>
    <t>B</t>
  </si>
  <si>
    <t>Exemption Credit</t>
  </si>
  <si>
    <t>Dependency Credit</t>
  </si>
  <si>
    <t>Exemption and Dependeny in excess of</t>
  </si>
  <si>
    <t>Bracket 1</t>
  </si>
  <si>
    <t>Bracket 2</t>
  </si>
  <si>
    <t>Bracket 3</t>
  </si>
  <si>
    <t>Medicare Tax</t>
  </si>
  <si>
    <t>Post-Tax Deductions</t>
  </si>
  <si>
    <t>Other post-tax deductions</t>
  </si>
  <si>
    <t>Total Post-tax deductions</t>
  </si>
  <si>
    <t xml:space="preserve">Net Check </t>
  </si>
  <si>
    <t>Exemptions</t>
  </si>
  <si>
    <t xml:space="preserve">Married Filing Seperately </t>
  </si>
  <si>
    <t>Head of household</t>
  </si>
  <si>
    <t>2020 Percetnage Method Tables for Automated Payroll Systems</t>
  </si>
  <si>
    <t>*Verify and update each year</t>
  </si>
  <si>
    <t>Step 1</t>
  </si>
  <si>
    <t>Adjust the employee's wage amount:</t>
  </si>
  <si>
    <t>1a.</t>
  </si>
  <si>
    <t>Enter the employee's total taxable wages this payoll period</t>
  </si>
  <si>
    <t>Enter the number of pay periods you have per year</t>
  </si>
  <si>
    <t>1b.</t>
  </si>
  <si>
    <t>1c.</t>
  </si>
  <si>
    <t>Multiply the amount on line 1a by the number on line 1b</t>
  </si>
  <si>
    <t>1d.</t>
  </si>
  <si>
    <t>W4 Form submitted 2020 or later?</t>
  </si>
  <si>
    <t xml:space="preserve">Yes </t>
  </si>
  <si>
    <t>1e.</t>
  </si>
  <si>
    <t>1f.</t>
  </si>
  <si>
    <t>1g.</t>
  </si>
  <si>
    <t>1h.</t>
  </si>
  <si>
    <t>1i.</t>
  </si>
  <si>
    <r>
      <t xml:space="preserve">If the employee </t>
    </r>
    <r>
      <rPr>
        <b/>
        <sz val="11"/>
        <color theme="1"/>
        <rFont val="Calibri"/>
        <family val="2"/>
        <scheme val="minor"/>
      </rPr>
      <t xml:space="preserve">HAS </t>
    </r>
    <r>
      <rPr>
        <sz val="11"/>
        <color theme="1"/>
        <rFont val="Calibri"/>
        <family val="2"/>
        <scheme val="minor"/>
      </rPr>
      <t>submitted a Form W-4 for 2020 or later, figure the Adjusted Annual Wage Amount as follows:</t>
    </r>
  </si>
  <si>
    <r>
      <t xml:space="preserve">If the employee </t>
    </r>
    <r>
      <rPr>
        <b/>
        <sz val="11"/>
        <color theme="1"/>
        <rFont val="Calibri"/>
        <family val="2"/>
        <scheme val="minor"/>
      </rPr>
      <t xml:space="preserve">HAS NOT </t>
    </r>
    <r>
      <rPr>
        <sz val="11"/>
        <color theme="1"/>
        <rFont val="Calibri"/>
        <family val="2"/>
        <scheme val="minor"/>
      </rPr>
      <t>submitted a Form W-4 for 2020 or later, figure the Adjusted Annual Wage Amount as follows:</t>
    </r>
  </si>
  <si>
    <t>1j.</t>
  </si>
  <si>
    <t>1k.</t>
  </si>
  <si>
    <t>1l.</t>
  </si>
  <si>
    <t>Step 2</t>
  </si>
  <si>
    <t>Figure the Tentative Withholding Amount</t>
  </si>
  <si>
    <t>based on the employee's Adjusted Annual Wage Amount; filing status (Step 1(c) of the 2020 Form W-4) or marital status (line 3 of Form W-4 from 2019 or ealier);and whether the box in Step 2 of 2020 Form W-4 is checked.</t>
  </si>
  <si>
    <t>Note: Don't use Head of Household table if the Form W-4 is from 2019 or earlier.</t>
  </si>
  <si>
    <t>2a.</t>
  </si>
  <si>
    <t>2b.</t>
  </si>
  <si>
    <t>2c.</t>
  </si>
  <si>
    <t>2d.</t>
  </si>
  <si>
    <t>2e.</t>
  </si>
  <si>
    <t>2f.</t>
  </si>
  <si>
    <t>2g.</t>
  </si>
  <si>
    <t>2h.</t>
  </si>
  <si>
    <t>Step 3</t>
  </si>
  <si>
    <t>Account for tax credits</t>
  </si>
  <si>
    <t>3a.</t>
  </si>
  <si>
    <t>3b.</t>
  </si>
  <si>
    <t>3c.</t>
  </si>
  <si>
    <t>Step 4</t>
  </si>
  <si>
    <t>Figure the final amount to withhold</t>
  </si>
  <si>
    <t>4a.</t>
  </si>
  <si>
    <t>4b.</t>
  </si>
  <si>
    <t>Add lines 1c and 1d</t>
  </si>
  <si>
    <t>Form submitted after 2020</t>
  </si>
  <si>
    <t xml:space="preserve">Box Check </t>
  </si>
  <si>
    <t>yes/no</t>
  </si>
  <si>
    <t>Add lines 1f and 1g</t>
  </si>
  <si>
    <t>Multipy line 1j by 4,300</t>
  </si>
  <si>
    <t>Enter the number of allwances claimed on the employee's most recent Form W-4</t>
  </si>
  <si>
    <r>
      <t xml:space="preserve">Subtract line 1k from line 1c. If zero or less, enter 0. This is the </t>
    </r>
    <r>
      <rPr>
        <b/>
        <sz val="11"/>
        <color theme="1"/>
        <rFont val="Calibri"/>
        <family val="2"/>
        <scheme val="minor"/>
      </rPr>
      <t>Adjsute Annunal Wage Amount</t>
    </r>
    <r>
      <rPr>
        <sz val="11"/>
        <color theme="1"/>
        <rFont val="Calibri"/>
        <family val="2"/>
        <scheme val="minor"/>
      </rPr>
      <t xml:space="preserve">. </t>
    </r>
  </si>
  <si>
    <r>
      <t xml:space="preserve">Subtract line 1h from line 1e. If zero or less, enter 0. this the </t>
    </r>
    <r>
      <rPr>
        <b/>
        <sz val="11"/>
        <color theme="1"/>
        <rFont val="Calibri"/>
        <family val="2"/>
        <scheme val="minor"/>
      </rPr>
      <t>Adjusted Annual Wage Amount</t>
    </r>
  </si>
  <si>
    <r>
      <t xml:space="preserve">Enter the employee's </t>
    </r>
    <r>
      <rPr>
        <b/>
        <sz val="11"/>
        <color theme="1"/>
        <rFont val="Calibri"/>
        <family val="2"/>
        <scheme val="minor"/>
      </rPr>
      <t>Adjusted Annual Wage Amount</t>
    </r>
    <r>
      <rPr>
        <sz val="11"/>
        <color theme="1"/>
        <rFont val="Calibri"/>
        <family val="2"/>
        <scheme val="minor"/>
      </rPr>
      <t xml:space="preserve"> from line 1i or 1l above</t>
    </r>
  </si>
  <si>
    <t>If the Adjusted Annual Wage Amount (line 2a) is:</t>
  </si>
  <si>
    <t>At least</t>
  </si>
  <si>
    <t>But less than</t>
  </si>
  <si>
    <t>tentative amount to withhold is:</t>
  </si>
  <si>
    <t xml:space="preserve">Plus this percentage </t>
  </si>
  <si>
    <t>of the amount that the Adjusted Annual Wage exceeds</t>
  </si>
  <si>
    <t>D</t>
  </si>
  <si>
    <t>No</t>
  </si>
  <si>
    <t>Use these is the Form W-4 is from 2019 or earlier</t>
  </si>
  <si>
    <t>, or if the Form W-4 is from 2020 or later and the box in Step 2 of Form W-4 is NOT checked.</t>
  </si>
  <si>
    <t>Use these is the Form W-4 is from 2020 or later</t>
  </si>
  <si>
    <r>
      <t xml:space="preserve">and the box in Step 2 of Form W-4 </t>
    </r>
    <r>
      <rPr>
        <b/>
        <sz val="11"/>
        <color theme="1"/>
        <rFont val="Calibri"/>
        <family val="2"/>
        <scheme val="minor"/>
      </rPr>
      <t>IS</t>
    </r>
    <r>
      <rPr>
        <sz val="11"/>
        <color theme="1"/>
        <rFont val="Calibri"/>
        <family val="2"/>
        <scheme val="minor"/>
      </rPr>
      <t xml:space="preserve"> checked.</t>
    </r>
  </si>
  <si>
    <t>Single or Married Filing Separately</t>
  </si>
  <si>
    <t>Married Filing Jointly</t>
  </si>
  <si>
    <t>A</t>
  </si>
  <si>
    <t>C</t>
  </si>
  <si>
    <t>E</t>
  </si>
  <si>
    <t>Tax to withhold</t>
  </si>
  <si>
    <t>Enter the amount from Step 4(b) of the emplyee's Form W-4</t>
  </si>
  <si>
    <t>Enter the amount from Step 4(a) of the employee's Form W-4</t>
  </si>
  <si>
    <r>
      <t xml:space="preserve">Enter the amount from Column C of that row - </t>
    </r>
    <r>
      <rPr>
        <sz val="11"/>
        <color rgb="FFFF0000"/>
        <rFont val="Calibri"/>
        <family val="2"/>
        <scheme val="minor"/>
      </rPr>
      <t xml:space="preserve">calculation is done on next sheet </t>
    </r>
  </si>
  <si>
    <r>
      <t>Enter the percentage from column D of that row-</t>
    </r>
    <r>
      <rPr>
        <sz val="11"/>
        <color rgb="FFFF0000"/>
        <rFont val="Calibri"/>
        <family val="2"/>
        <scheme val="minor"/>
      </rPr>
      <t>calculation is done on next sheet</t>
    </r>
  </si>
  <si>
    <r>
      <t xml:space="preserve">Subtract line 2b from line 2a - </t>
    </r>
    <r>
      <rPr>
        <sz val="11"/>
        <color rgb="FFFF0000"/>
        <rFont val="Calibri"/>
        <family val="2"/>
        <scheme val="minor"/>
      </rPr>
      <t>calcualtion is done on next sheet</t>
    </r>
  </si>
  <si>
    <r>
      <t>Multiply the amount on line 2e by the percentage on line 2d -</t>
    </r>
    <r>
      <rPr>
        <sz val="11"/>
        <color rgb="FFFF0000"/>
        <rFont val="Calibri"/>
        <family val="2"/>
        <scheme val="minor"/>
      </rPr>
      <t>calculation is done on next sheet</t>
    </r>
  </si>
  <si>
    <r>
      <t xml:space="preserve">Add lines 2c and 2f - </t>
    </r>
    <r>
      <rPr>
        <sz val="11"/>
        <color rgb="FFFF0000"/>
        <rFont val="Calibri"/>
        <family val="2"/>
        <scheme val="minor"/>
      </rPr>
      <t>number is pulled in from next sheet</t>
    </r>
  </si>
  <si>
    <r>
      <t>Find the row in the appopriate Annual Percentage Method table in which the amount of line 2a is at least tha amount in clumn A but less the amount in coulmn B, then enter here the amount from column A of that row</t>
    </r>
    <r>
      <rPr>
        <sz val="11"/>
        <color rgb="FFFF0000"/>
        <rFont val="Calibri"/>
        <family val="2"/>
        <scheme val="minor"/>
      </rPr>
      <t xml:space="preserve"> - calculation is done on next sheet</t>
    </r>
  </si>
  <si>
    <t>Divide the amount on line 2g by the number of pay periods on line 1b. This is the Tentative withholding amont</t>
  </si>
  <si>
    <t>If the employee's Form W-4 is from 2020, enter the amount from Step 3of that form; otherwise enter 0.</t>
  </si>
  <si>
    <t>Divide the amount on line 3a by the number of pay periods on line 1b</t>
  </si>
  <si>
    <t>Subtract line 3b from line 2h. If zero or less, enter 0</t>
  </si>
  <si>
    <t>Enter the additional amount to withhold from the employee's Form W-4(Step 4(c) or the 2020 form or line 6 on earlier forms</t>
  </si>
  <si>
    <t xml:space="preserve">Add lines 3c and 4a. This is the amount to withhold formt eh employees wages this pay period </t>
  </si>
  <si>
    <t>Medicare Taxable Wages</t>
  </si>
  <si>
    <t>Per Check</t>
  </si>
  <si>
    <t>Standard Withholding Rate Schedules- Annualized</t>
  </si>
  <si>
    <t>Standard Withholding Rate Schedules-Annualized</t>
  </si>
  <si>
    <t>Standard Withholding Rate Schedules- Per Check</t>
  </si>
  <si>
    <t>Standard Withholding Rate Schedules - Per Check</t>
  </si>
  <si>
    <t xml:space="preserve">Annualized </t>
  </si>
  <si>
    <t xml:space="preserve">Annulized </t>
  </si>
  <si>
    <t>Total Gross Wages</t>
  </si>
  <si>
    <t>403B Pretax</t>
  </si>
  <si>
    <t>457 Pretax</t>
  </si>
  <si>
    <t>Additional Amount to withhold</t>
  </si>
  <si>
    <r>
      <t>If the box in</t>
    </r>
    <r>
      <rPr>
        <b/>
        <sz val="11"/>
        <color theme="1"/>
        <rFont val="Calibri"/>
        <family val="2"/>
        <scheme val="minor"/>
      </rPr>
      <t xml:space="preserve"> Step 2 of Form W-4 is checked, enter 0</t>
    </r>
    <r>
      <rPr>
        <sz val="11"/>
        <color theme="1"/>
        <rFont val="Calibri"/>
        <family val="2"/>
        <scheme val="minor"/>
      </rPr>
      <t>. If the box is not checked, enter $12,900 if the taxpayer is married filing joint or $8,600 other wise</t>
    </r>
  </si>
  <si>
    <t>Monthly</t>
  </si>
  <si>
    <t xml:space="preserve">Monthly </t>
  </si>
  <si>
    <t>If the Adjusted Monthly Wage Amount (line 2a) is:</t>
  </si>
  <si>
    <t>Regular taxable wages (table)</t>
  </si>
  <si>
    <t xml:space="preserve">Regular </t>
  </si>
  <si>
    <t xml:space="preserve">Supplemental </t>
  </si>
  <si>
    <t>Percent of total Pay</t>
  </si>
  <si>
    <t>Supplemental</t>
  </si>
  <si>
    <t xml:space="preserve">Retirement </t>
  </si>
  <si>
    <t>LASERS</t>
  </si>
  <si>
    <t>TRSL</t>
  </si>
  <si>
    <t>ORP</t>
  </si>
  <si>
    <t xml:space="preserve">Retirement Plan </t>
  </si>
  <si>
    <t>Academic Year (10)</t>
  </si>
  <si>
    <t>Academic Year (12)</t>
  </si>
  <si>
    <t>Summer Months  (12)</t>
  </si>
  <si>
    <t>Salary Pay - Academic Payment Deferred</t>
  </si>
  <si>
    <t>Summer Disbursement</t>
  </si>
  <si>
    <t xml:space="preserve">State Taxable </t>
  </si>
  <si>
    <t>LSERS-1</t>
  </si>
  <si>
    <t>LASERS-Haz</t>
  </si>
  <si>
    <t>LASERS - 1</t>
  </si>
  <si>
    <t>LASERS -2</t>
  </si>
  <si>
    <t>LASERS -3</t>
  </si>
  <si>
    <t>LASERS -4</t>
  </si>
  <si>
    <t>Dependents</t>
  </si>
  <si>
    <t xml:space="preserve">Hide </t>
  </si>
  <si>
    <t>Hide</t>
  </si>
  <si>
    <t xml:space="preserve">Gross Pay </t>
  </si>
  <si>
    <t>C1</t>
  </si>
  <si>
    <t>C2</t>
  </si>
  <si>
    <t>C3</t>
  </si>
  <si>
    <t>G</t>
  </si>
  <si>
    <t>2022 LA Withholding Tables and Formulas</t>
  </si>
  <si>
    <t>F</t>
  </si>
  <si>
    <t>Taxable Wages</t>
  </si>
  <si>
    <t>Number of Exemptions</t>
  </si>
  <si>
    <t>Number of Dependents</t>
  </si>
  <si>
    <t>Number of Payrolls</t>
  </si>
  <si>
    <t>Personal Exemptions</t>
  </si>
  <si>
    <t>Credit for Dependents</t>
  </si>
  <si>
    <t>C1 plus C2</t>
  </si>
  <si>
    <t xml:space="preserve">First Bracket </t>
  </si>
  <si>
    <t>Taxable First Bracket</t>
  </si>
  <si>
    <t>Tax</t>
  </si>
  <si>
    <t>Total</t>
  </si>
  <si>
    <t>Taxable Second Brackeet</t>
  </si>
  <si>
    <t>Taxable Third Bracket</t>
  </si>
  <si>
    <t>Amount to Withhold</t>
  </si>
  <si>
    <t>Additional Amount you want withheld (Form W-4(Step 4(c) of the 2020 Form or line 6 on earlier forms)</t>
  </si>
  <si>
    <t>ROTH 403B Post tax</t>
  </si>
  <si>
    <t>ROTH 457 Post tax</t>
  </si>
  <si>
    <t>Wellness Credit</t>
  </si>
  <si>
    <t>Additional Pay - Not Retirement Eligible</t>
  </si>
  <si>
    <t>Additional Pay - Retirement Eligible</t>
  </si>
  <si>
    <t>Supplemental taxed at 22%</t>
  </si>
  <si>
    <t>Academic Pay</t>
  </si>
  <si>
    <t xml:space="preserve">Academic Annual Salary </t>
  </si>
  <si>
    <t>OGB Supplemental Life</t>
  </si>
  <si>
    <t>FSA Admin Fee</t>
  </si>
  <si>
    <t>FSA Medical</t>
  </si>
  <si>
    <t>Medical Ins</t>
  </si>
  <si>
    <t>Supplemental Benefits - Post Tax</t>
  </si>
  <si>
    <t>Supplemental Benefits - Pre Tax</t>
  </si>
  <si>
    <t>403B Pre Tax</t>
  </si>
  <si>
    <t>457 Pre Tax</t>
  </si>
  <si>
    <t xml:space="preserve">FSA Dependent Spending </t>
  </si>
  <si>
    <t>View withholding elections to get tax election:</t>
  </si>
  <si>
    <r>
      <t xml:space="preserve">View payslip to enter dollar amount in </t>
    </r>
    <r>
      <rPr>
        <b/>
        <i/>
        <sz val="11"/>
        <color rgb="FF3808E8"/>
        <rFont val="Calibri"/>
        <family val="2"/>
        <scheme val="minor"/>
      </rPr>
      <t xml:space="preserve">blue </t>
    </r>
    <r>
      <rPr>
        <b/>
        <i/>
        <sz val="11"/>
        <color theme="1"/>
        <rFont val="Calibri"/>
        <family val="2"/>
        <scheme val="minor"/>
      </rPr>
      <t>highlighted areas:</t>
    </r>
  </si>
  <si>
    <t>Earnings:</t>
  </si>
  <si>
    <t>H.S.A. Ins</t>
  </si>
  <si>
    <t>OGB Dependent Supplemental Life</t>
  </si>
  <si>
    <t>Annual Parking</t>
  </si>
  <si>
    <t>If elected to be paid over 12 paychecks, column I will be paychecks from August to May and column N will represent your June and July paychecks.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</si>
</sst>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3808E8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0" fontId="6" fillId="0" borderId="0"/>
    <xf numFmtId="9" fontId="7" fillId="0" borderId="0" applyFont="0" applyFill="0" applyBorder="0" applyAlignment="0" applyProtection="0"/>
    <xf numFmtId="0" fontId="7" fillId="0" borderId="0" applyNumberFormat="0" applyFill="0" applyBorder="0" applyProtection="0"/>
    <xf numFmtId="43" fontId="10" fillId="0" borderId="0" applyFont="0" applyFill="0" applyBorder="0" applyAlignment="0" applyProtection="0"/>
  </cellStyleXfs>
  <cellXfs count="144">
    <xf numFmtId="0" fontId="0" fillId="0" borderId="0" xfId="0"/>
    <xf numFmtId="0" fontId="3" fillId="0" borderId="0" xfId="0" applyFont="1"/>
    <xf numFmtId="0" fontId="4" fillId="0" borderId="0" xfId="0" applyFont="1"/>
    <xf numFmtId="2" fontId="0" fillId="0" borderId="0" xfId="0" applyNumberFormat="1"/>
    <xf numFmtId="0" fontId="0" fillId="0" borderId="0" xfId="0" applyFill="1"/>
    <xf numFmtId="0" fontId="0" fillId="2" borderId="0" xfId="0" applyFill="1"/>
    <xf numFmtId="0" fontId="0" fillId="3" borderId="0" xfId="0" applyFill="1"/>
    <xf numFmtId="10" fontId="0" fillId="0" borderId="0" xfId="0" applyNumberFormat="1"/>
    <xf numFmtId="0" fontId="0" fillId="0" borderId="0" xfId="0" applyFont="1"/>
    <xf numFmtId="0" fontId="3" fillId="2" borderId="0" xfId="0" applyFont="1" applyFill="1"/>
    <xf numFmtId="3" fontId="0" fillId="2" borderId="0" xfId="0" applyNumberFormat="1" applyFill="1"/>
    <xf numFmtId="2" fontId="0" fillId="0" borderId="0" xfId="0" applyNumberFormat="1" applyAlignment="1">
      <alignment horizontal="right"/>
    </xf>
    <xf numFmtId="2" fontId="0" fillId="0" borderId="1" xfId="0" applyNumberFormat="1" applyFill="1" applyBorder="1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2" fontId="0" fillId="0" borderId="1" xfId="0" applyNumberFormat="1" applyBorder="1" applyAlignment="1">
      <alignment horizontal="right" wrapText="1"/>
    </xf>
    <xf numFmtId="3" fontId="0" fillId="2" borderId="0" xfId="0" applyNumberFormat="1" applyFill="1" applyAlignment="1">
      <alignment wrapText="1"/>
    </xf>
    <xf numFmtId="4" fontId="0" fillId="0" borderId="0" xfId="0" applyNumberFormat="1"/>
    <xf numFmtId="0" fontId="4" fillId="0" borderId="0" xfId="0" applyFont="1" applyAlignment="1">
      <alignment horizontal="center"/>
    </xf>
    <xf numFmtId="5" fontId="6" fillId="0" borderId="2" xfId="1" applyNumberFormat="1" applyBorder="1"/>
    <xf numFmtId="5" fontId="6" fillId="0" borderId="0" xfId="1" applyNumberFormat="1" applyBorder="1"/>
    <xf numFmtId="7" fontId="6" fillId="0" borderId="0" xfId="1" applyNumberFormat="1" applyBorder="1"/>
    <xf numFmtId="9" fontId="6" fillId="0" borderId="0" xfId="2" applyFont="1" applyBorder="1"/>
    <xf numFmtId="5" fontId="7" fillId="0" borderId="3" xfId="3" applyNumberFormat="1" applyFont="1" applyBorder="1" applyAlignment="1"/>
    <xf numFmtId="9" fontId="6" fillId="0" borderId="0" xfId="1" applyNumberFormat="1"/>
    <xf numFmtId="5" fontId="6" fillId="0" borderId="5" xfId="1" applyNumberFormat="1" applyBorder="1"/>
    <xf numFmtId="9" fontId="6" fillId="0" borderId="5" xfId="1" applyNumberFormat="1" applyBorder="1"/>
    <xf numFmtId="5" fontId="7" fillId="0" borderId="6" xfId="3" applyNumberFormat="1" applyFont="1" applyBorder="1" applyAlignment="1"/>
    <xf numFmtId="0" fontId="6" fillId="4" borderId="2" xfId="1" applyFont="1" applyFill="1" applyBorder="1" applyAlignment="1">
      <alignment horizontal="centerContinuous"/>
    </xf>
    <xf numFmtId="0" fontId="6" fillId="4" borderId="0" xfId="1" applyFill="1" applyBorder="1" applyAlignment="1">
      <alignment horizontal="centerContinuous"/>
    </xf>
    <xf numFmtId="0" fontId="6" fillId="4" borderId="3" xfId="1" applyFill="1" applyBorder="1" applyAlignment="1">
      <alignment horizontal="centerContinuous"/>
    </xf>
    <xf numFmtId="0" fontId="8" fillId="0" borderId="2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9" fillId="0" borderId="3" xfId="3" applyFont="1" applyBorder="1" applyAlignment="1">
      <alignment horizontal="center" vertical="center"/>
    </xf>
    <xf numFmtId="2" fontId="0" fillId="0" borderId="0" xfId="0" applyNumberFormat="1" applyFill="1" applyAlignment="1">
      <alignment horizontal="right"/>
    </xf>
    <xf numFmtId="2" fontId="0" fillId="0" borderId="1" xfId="0" applyNumberFormat="1" applyFill="1" applyBorder="1" applyAlignment="1">
      <alignment horizontal="right"/>
    </xf>
    <xf numFmtId="1" fontId="0" fillId="0" borderId="0" xfId="0" applyNumberFormat="1"/>
    <xf numFmtId="2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0" xfId="0" applyFont="1" applyFill="1"/>
    <xf numFmtId="0" fontId="4" fillId="0" borderId="0" xfId="0" applyFont="1" applyFill="1"/>
    <xf numFmtId="0" fontId="3" fillId="0" borderId="0" xfId="0" applyFont="1" applyFill="1"/>
    <xf numFmtId="0" fontId="5" fillId="0" borderId="0" xfId="0" applyFont="1" applyFill="1" applyAlignment="1">
      <alignment wrapText="1"/>
    </xf>
    <xf numFmtId="1" fontId="0" fillId="0" borderId="0" xfId="0" applyNumberFormat="1" applyFill="1" applyBorder="1"/>
    <xf numFmtId="0" fontId="0" fillId="5" borderId="0" xfId="0" applyFont="1" applyFill="1"/>
    <xf numFmtId="2" fontId="0" fillId="5" borderId="0" xfId="0" applyNumberFormat="1" applyFont="1" applyFill="1"/>
    <xf numFmtId="2" fontId="0" fillId="6" borderId="0" xfId="0" applyNumberFormat="1" applyFill="1"/>
    <xf numFmtId="2" fontId="0" fillId="7" borderId="0" xfId="0" applyNumberFormat="1" applyFill="1"/>
    <xf numFmtId="2" fontId="0" fillId="8" borderId="0" xfId="0" applyNumberFormat="1" applyFill="1"/>
    <xf numFmtId="7" fontId="6" fillId="0" borderId="0" xfId="1" applyNumberFormat="1" applyFill="1" applyBorder="1"/>
    <xf numFmtId="5" fontId="6" fillId="0" borderId="2" xfId="1" applyNumberFormat="1" applyFill="1" applyBorder="1"/>
    <xf numFmtId="4" fontId="0" fillId="8" borderId="0" xfId="0" applyNumberFormat="1" applyFill="1"/>
    <xf numFmtId="4" fontId="0" fillId="9" borderId="0" xfId="0" applyNumberFormat="1" applyFill="1"/>
    <xf numFmtId="2" fontId="0" fillId="9" borderId="0" xfId="0" applyNumberFormat="1" applyFill="1" applyAlignment="1">
      <alignment horizontal="left"/>
    </xf>
    <xf numFmtId="0" fontId="0" fillId="8" borderId="0" xfId="0" applyFill="1"/>
    <xf numFmtId="0" fontId="0" fillId="9" borderId="0" xfId="0" applyFill="1"/>
    <xf numFmtId="0" fontId="0" fillId="0" borderId="0" xfId="0" applyAlignment="1">
      <alignment horizontal="left"/>
    </xf>
    <xf numFmtId="9" fontId="0" fillId="0" borderId="0" xfId="0" applyNumberFormat="1"/>
    <xf numFmtId="2" fontId="0" fillId="0" borderId="0" xfId="0" applyNumberFormat="1" applyFill="1" applyBorder="1"/>
    <xf numFmtId="2" fontId="0" fillId="0" borderId="0" xfId="0" applyNumberFormat="1" applyFont="1" applyFill="1" applyBorder="1"/>
    <xf numFmtId="4" fontId="3" fillId="0" borderId="0" xfId="0" applyNumberFormat="1" applyFont="1" applyFill="1" applyBorder="1"/>
    <xf numFmtId="2" fontId="3" fillId="0" borderId="0" xfId="0" applyNumberFormat="1" applyFont="1" applyFill="1" applyBorder="1"/>
    <xf numFmtId="2" fontId="0" fillId="0" borderId="0" xfId="0" applyNumberFormat="1" applyFill="1"/>
    <xf numFmtId="2" fontId="4" fillId="5" borderId="0" xfId="0" applyNumberFormat="1" applyFont="1" applyFill="1" applyBorder="1" applyAlignment="1">
      <alignment horizontal="center"/>
    </xf>
    <xf numFmtId="4" fontId="3" fillId="5" borderId="0" xfId="0" applyNumberFormat="1" applyFont="1" applyFill="1" applyBorder="1"/>
    <xf numFmtId="2" fontId="0" fillId="5" borderId="0" xfId="0" applyNumberFormat="1" applyFill="1" applyBorder="1"/>
    <xf numFmtId="2" fontId="0" fillId="5" borderId="0" xfId="0" applyNumberFormat="1" applyFont="1" applyFill="1" applyBorder="1"/>
    <xf numFmtId="2" fontId="3" fillId="5" borderId="0" xfId="0" applyNumberFormat="1" applyFont="1" applyFill="1" applyBorder="1"/>
    <xf numFmtId="2" fontId="0" fillId="5" borderId="0" xfId="0" applyNumberFormat="1" applyFill="1"/>
    <xf numFmtId="2" fontId="0" fillId="0" borderId="1" xfId="0" applyNumberFormat="1" applyFill="1" applyBorder="1" applyAlignment="1">
      <alignment horizontal="right" wrapText="1"/>
    </xf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2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 wrapText="1"/>
    </xf>
    <xf numFmtId="2" fontId="0" fillId="0" borderId="0" xfId="0" applyNumberFormat="1" applyFont="1"/>
    <xf numFmtId="2" fontId="0" fillId="0" borderId="12" xfId="0" applyNumberFormat="1" applyFill="1" applyBorder="1"/>
    <xf numFmtId="0" fontId="0" fillId="5" borderId="0" xfId="0" applyFill="1"/>
    <xf numFmtId="9" fontId="0" fillId="0" borderId="0" xfId="0" applyNumberFormat="1" applyFont="1" applyFill="1" applyBorder="1"/>
    <xf numFmtId="2" fontId="0" fillId="7" borderId="0" xfId="0" applyNumberFormat="1" applyFill="1" applyBorder="1"/>
    <xf numFmtId="0" fontId="0" fillId="5" borderId="0" xfId="0" applyFill="1" applyBorder="1"/>
    <xf numFmtId="0" fontId="0" fillId="7" borderId="0" xfId="0" applyFill="1"/>
    <xf numFmtId="4" fontId="0" fillId="7" borderId="0" xfId="0" applyNumberFormat="1" applyFill="1"/>
    <xf numFmtId="2" fontId="0" fillId="13" borderId="0" xfId="0" applyNumberFormat="1" applyFill="1" applyBorder="1"/>
    <xf numFmtId="0" fontId="0" fillId="13" borderId="0" xfId="0" applyFill="1"/>
    <xf numFmtId="4" fontId="0" fillId="14" borderId="0" xfId="0" applyNumberFormat="1" applyFill="1"/>
    <xf numFmtId="2" fontId="0" fillId="14" borderId="0" xfId="0" applyNumberFormat="1" applyFill="1"/>
    <xf numFmtId="0" fontId="0" fillId="12" borderId="0" xfId="0" applyFill="1"/>
    <xf numFmtId="0" fontId="1" fillId="13" borderId="0" xfId="0" applyFont="1" applyFill="1" applyAlignment="1">
      <alignment vertical="center"/>
    </xf>
    <xf numFmtId="0" fontId="0" fillId="0" borderId="0" xfId="0" applyAlignment="1">
      <alignment horizontal="right"/>
    </xf>
    <xf numFmtId="0" fontId="0" fillId="7" borderId="0" xfId="0" applyFill="1" applyAlignment="1">
      <alignment horizontal="right"/>
    </xf>
    <xf numFmtId="0" fontId="0" fillId="13" borderId="0" xfId="0" applyFill="1" applyAlignment="1">
      <alignment horizontal="right"/>
    </xf>
    <xf numFmtId="0" fontId="0" fillId="8" borderId="0" xfId="0" applyFill="1" applyAlignment="1">
      <alignment horizontal="right"/>
    </xf>
    <xf numFmtId="0" fontId="1" fillId="0" borderId="0" xfId="0" applyFont="1" applyAlignment="1">
      <alignment horizontal="right" vertical="center"/>
    </xf>
    <xf numFmtId="0" fontId="0" fillId="0" borderId="0" xfId="0" applyAlignment="1"/>
    <xf numFmtId="2" fontId="0" fillId="8" borderId="0" xfId="0" applyNumberFormat="1" applyFill="1" applyAlignment="1"/>
    <xf numFmtId="0" fontId="0" fillId="7" borderId="0" xfId="0" applyFill="1" applyAlignment="1"/>
    <xf numFmtId="0" fontId="0" fillId="13" borderId="0" xfId="0" applyFill="1" applyAlignment="1"/>
    <xf numFmtId="2" fontId="0" fillId="5" borderId="12" xfId="0" applyNumberFormat="1" applyFill="1" applyBorder="1"/>
    <xf numFmtId="7" fontId="6" fillId="15" borderId="0" xfId="1" applyNumberFormat="1" applyFill="1" applyBorder="1"/>
    <xf numFmtId="7" fontId="6" fillId="15" borderId="5" xfId="1" applyNumberFormat="1" applyFill="1" applyBorder="1"/>
    <xf numFmtId="5" fontId="6" fillId="15" borderId="2" xfId="1" applyNumberFormat="1" applyFill="1" applyBorder="1"/>
    <xf numFmtId="5" fontId="6" fillId="15" borderId="4" xfId="1" applyNumberFormat="1" applyFill="1" applyBorder="1"/>
    <xf numFmtId="10" fontId="0" fillId="2" borderId="0" xfId="0" applyNumberFormat="1" applyFill="1"/>
    <xf numFmtId="10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/>
    <xf numFmtId="2" fontId="0" fillId="0" borderId="0" xfId="0" applyNumberFormat="1" applyAlignment="1"/>
    <xf numFmtId="0" fontId="0" fillId="2" borderId="0" xfId="0" applyFill="1" applyProtection="1">
      <protection locked="0"/>
    </xf>
    <xf numFmtId="0" fontId="0" fillId="0" borderId="14" xfId="0" applyBorder="1"/>
    <xf numFmtId="43" fontId="0" fillId="0" borderId="0" xfId="4" applyFont="1"/>
    <xf numFmtId="43" fontId="3" fillId="0" borderId="0" xfId="4" applyFont="1"/>
    <xf numFmtId="43" fontId="0" fillId="2" borderId="0" xfId="4" applyFont="1" applyFill="1" applyProtection="1">
      <protection locked="0"/>
    </xf>
    <xf numFmtId="43" fontId="0" fillId="0" borderId="0" xfId="4" applyFont="1" applyFill="1"/>
    <xf numFmtId="1" fontId="0" fillId="2" borderId="0" xfId="4" applyNumberFormat="1" applyFont="1" applyFill="1" applyProtection="1">
      <protection locked="0"/>
    </xf>
    <xf numFmtId="164" fontId="0" fillId="2" borderId="0" xfId="4" applyNumberFormat="1" applyFont="1" applyFill="1" applyProtection="1">
      <protection locked="0"/>
    </xf>
    <xf numFmtId="0" fontId="11" fillId="16" borderId="0" xfId="0" applyFont="1" applyFill="1"/>
    <xf numFmtId="43" fontId="4" fillId="0" borderId="8" xfId="4" applyFont="1" applyBorder="1" applyAlignment="1">
      <alignment horizontal="center"/>
    </xf>
    <xf numFmtId="43" fontId="3" fillId="7" borderId="11" xfId="4" applyFont="1" applyFill="1" applyBorder="1"/>
    <xf numFmtId="43" fontId="0" fillId="0" borderId="7" xfId="4" applyFont="1" applyBorder="1"/>
    <xf numFmtId="43" fontId="0" fillId="0" borderId="9" xfId="4" applyFont="1" applyBorder="1"/>
    <xf numFmtId="43" fontId="0" fillId="0" borderId="8" xfId="4" applyFont="1" applyBorder="1"/>
    <xf numFmtId="43" fontId="3" fillId="0" borderId="7" xfId="4" applyFont="1" applyBorder="1"/>
    <xf numFmtId="43" fontId="0" fillId="0" borderId="7" xfId="4" applyFont="1" applyFill="1" applyBorder="1"/>
    <xf numFmtId="43" fontId="0" fillId="0" borderId="8" xfId="4" applyFont="1" applyFill="1" applyBorder="1"/>
    <xf numFmtId="43" fontId="3" fillId="7" borderId="7" xfId="4" applyFont="1" applyFill="1" applyBorder="1"/>
    <xf numFmtId="43" fontId="3" fillId="7" borderId="10" xfId="4" applyFont="1" applyFill="1" applyBorder="1"/>
    <xf numFmtId="43" fontId="4" fillId="0" borderId="13" xfId="4" applyFont="1" applyBorder="1" applyAlignment="1">
      <alignment horizontal="center"/>
    </xf>
    <xf numFmtId="43" fontId="0" fillId="0" borderId="9" xfId="4" applyFont="1" applyFill="1" applyBorder="1"/>
    <xf numFmtId="165" fontId="0" fillId="0" borderId="0" xfId="4" applyNumberFormat="1" applyFont="1"/>
    <xf numFmtId="0" fontId="0" fillId="16" borderId="0" xfId="0" applyFill="1"/>
    <xf numFmtId="43" fontId="0" fillId="16" borderId="0" xfId="4" applyFont="1" applyFill="1"/>
    <xf numFmtId="2" fontId="0" fillId="16" borderId="0" xfId="0" applyNumberFormat="1" applyFill="1"/>
    <xf numFmtId="0" fontId="3" fillId="16" borderId="0" xfId="0" applyFont="1" applyFill="1"/>
    <xf numFmtId="43" fontId="0" fillId="2" borderId="7" xfId="4" applyFont="1" applyFill="1" applyBorder="1" applyProtection="1">
      <protection locked="0"/>
    </xf>
    <xf numFmtId="43" fontId="0" fillId="2" borderId="8" xfId="4" applyFont="1" applyFill="1" applyBorder="1" applyProtection="1">
      <protection locked="0"/>
    </xf>
    <xf numFmtId="2" fontId="4" fillId="11" borderId="2" xfId="0" applyNumberFormat="1" applyFont="1" applyFill="1" applyBorder="1" applyAlignment="1">
      <alignment horizontal="center"/>
    </xf>
    <xf numFmtId="2" fontId="4" fillId="11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10" borderId="0" xfId="0" applyFont="1" applyFill="1" applyAlignment="1">
      <alignment horizontal="center" vertical="center"/>
    </xf>
    <xf numFmtId="0" fontId="3" fillId="10" borderId="0" xfId="0" applyFont="1" applyFill="1" applyAlignment="1">
      <alignment horizontal="center"/>
    </xf>
  </cellXfs>
  <cellStyles count="5">
    <cellStyle name="Comma" xfId="4" builtinId="3"/>
    <cellStyle name="Normal" xfId="0" builtinId="0"/>
    <cellStyle name="Normal 2 2" xfId="1" xr:uid="{00000000-0005-0000-0000-000002000000}"/>
    <cellStyle name="Normal 3" xfId="3" xr:uid="{00000000-0005-0000-0000-000003000000}"/>
    <cellStyle name="Percent 2" xfId="2" xr:uid="{00000000-0005-0000-0000-000004000000}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3808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5" totalsRowShown="0">
  <autoFilter ref="A1:A5" xr:uid="{00000000-0009-0000-0100-000001000000}"/>
  <tableColumns count="1">
    <tableColumn id="1" xr3:uid="{00000000-0010-0000-0000-000001000000}" name="Marital Statu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le5" displayName="Table5" ref="C1:C4" totalsRowShown="0">
  <autoFilter ref="C1:C4" xr:uid="{00000000-0009-0000-0100-000005000000}"/>
  <tableColumns count="1">
    <tableColumn id="1" xr3:uid="{00000000-0010-0000-0100-000001000000}" name="Exemptions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Table6" displayName="Table6" ref="E1:E3" totalsRowShown="0">
  <autoFilter ref="E1:E3" xr:uid="{00000000-0009-0000-0100-000006000000}"/>
  <tableColumns count="1">
    <tableColumn id="1" xr3:uid="{00000000-0010-0000-0200-000001000000}" name="yes/n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71"/>
  <sheetViews>
    <sheetView tabSelected="1" workbookViewId="0">
      <selection activeCell="A62" sqref="A62"/>
    </sheetView>
  </sheetViews>
  <sheetFormatPr defaultColWidth="8.85546875" defaultRowHeight="15" x14ac:dyDescent="0.25"/>
  <cols>
    <col min="1" max="1" width="57.42578125" bestFit="1" customWidth="1"/>
    <col min="2" max="2" width="9.7109375" bestFit="1" customWidth="1"/>
    <col min="3" max="3" width="14" style="112" bestFit="1" customWidth="1"/>
    <col min="4" max="4" width="18.140625" style="112" bestFit="1" customWidth="1"/>
    <col min="5" max="5" width="22.140625" style="63" hidden="1" customWidth="1"/>
    <col min="6" max="6" width="24.28515625" style="63" hidden="1" customWidth="1"/>
    <col min="7" max="7" width="2.28515625" style="63" customWidth="1"/>
    <col min="8" max="8" width="46.42578125" bestFit="1" customWidth="1"/>
    <col min="9" max="9" width="18.140625" style="112" bestFit="1" customWidth="1"/>
    <col min="10" max="10" width="22.140625" style="63" hidden="1" customWidth="1"/>
    <col min="11" max="11" width="24.28515625" style="63" hidden="1" customWidth="1"/>
    <col min="12" max="12" width="2.42578125" style="63" customWidth="1"/>
    <col min="13" max="13" width="46.42578125" style="4" bestFit="1" customWidth="1"/>
    <col min="14" max="14" width="20.28515625" style="112" bestFit="1" customWidth="1"/>
    <col min="15" max="15" width="22.140625" style="63" hidden="1" customWidth="1"/>
    <col min="16" max="16" width="24.28515625" style="63" hidden="1" customWidth="1"/>
    <col min="17" max="17" width="2.42578125" style="3" customWidth="1"/>
  </cols>
  <sheetData>
    <row r="1" spans="1:17" x14ac:dyDescent="0.25">
      <c r="A1" s="118" t="s">
        <v>198</v>
      </c>
      <c r="H1" s="135" t="s">
        <v>203</v>
      </c>
      <c r="I1" s="133"/>
      <c r="J1" s="134"/>
      <c r="K1" s="134"/>
      <c r="L1" s="134"/>
      <c r="M1" s="132"/>
      <c r="N1" s="133"/>
    </row>
    <row r="2" spans="1:17" ht="15.75" thickBot="1" x14ac:dyDescent="0.3">
      <c r="D2" s="119" t="s">
        <v>143</v>
      </c>
      <c r="E2" s="138" t="s">
        <v>156</v>
      </c>
      <c r="F2" s="139"/>
      <c r="G2" s="64"/>
      <c r="I2" s="119" t="s">
        <v>144</v>
      </c>
      <c r="J2" s="138" t="s">
        <v>156</v>
      </c>
      <c r="K2" s="139"/>
      <c r="L2" s="64"/>
      <c r="N2" s="129" t="s">
        <v>145</v>
      </c>
      <c r="O2" s="138" t="s">
        <v>157</v>
      </c>
      <c r="P2" s="139"/>
      <c r="Q2" s="64"/>
    </row>
    <row r="3" spans="1:17" ht="16.5" thickTop="1" thickBot="1" x14ac:dyDescent="0.3">
      <c r="A3" s="1" t="s">
        <v>15</v>
      </c>
      <c r="C3" s="113"/>
      <c r="D3" s="120" t="e">
        <f>D71</f>
        <v>#DIV/0!</v>
      </c>
      <c r="E3" s="61"/>
      <c r="F3" s="61"/>
      <c r="G3" s="65"/>
      <c r="H3" s="1" t="s">
        <v>15</v>
      </c>
      <c r="I3" s="120" t="e">
        <f>I71</f>
        <v>#DIV/0!</v>
      </c>
      <c r="J3" s="61"/>
      <c r="K3" s="61"/>
      <c r="L3" s="65"/>
      <c r="M3" s="1" t="s">
        <v>15</v>
      </c>
      <c r="N3" s="120" t="e">
        <f>N71</f>
        <v>#DIV/0!</v>
      </c>
      <c r="O3" s="61"/>
      <c r="P3" s="61"/>
      <c r="Q3" s="65"/>
    </row>
    <row r="4" spans="1:17" ht="15.75" thickTop="1" x14ac:dyDescent="0.25">
      <c r="D4" s="121"/>
      <c r="E4" s="59"/>
      <c r="F4" s="59"/>
      <c r="G4" s="66"/>
      <c r="I4" s="121"/>
      <c r="J4" s="59"/>
      <c r="K4" s="59"/>
      <c r="L4" s="66"/>
      <c r="N4" s="121"/>
      <c r="O4" s="59"/>
      <c r="P4" s="59"/>
      <c r="Q4" s="66"/>
    </row>
    <row r="5" spans="1:17" x14ac:dyDescent="0.25">
      <c r="A5" s="2" t="s">
        <v>199</v>
      </c>
      <c r="D5" s="121"/>
      <c r="E5" s="59"/>
      <c r="F5" s="59"/>
      <c r="G5" s="66"/>
      <c r="I5" s="121"/>
      <c r="J5" s="59"/>
      <c r="K5" s="59"/>
      <c r="L5" s="66"/>
      <c r="N5" s="121"/>
      <c r="O5" s="59"/>
      <c r="P5" s="59"/>
      <c r="Q5" s="66"/>
    </row>
    <row r="6" spans="1:17" x14ac:dyDescent="0.25">
      <c r="A6" s="8" t="s">
        <v>186</v>
      </c>
      <c r="C6" s="114"/>
      <c r="D6" s="121"/>
      <c r="E6" t="s">
        <v>136</v>
      </c>
      <c r="F6" s="59"/>
      <c r="G6" s="66"/>
      <c r="H6" s="2"/>
      <c r="I6" s="121"/>
      <c r="J6" t="s">
        <v>136</v>
      </c>
      <c r="K6" s="59"/>
      <c r="L6" s="66"/>
      <c r="N6" s="121"/>
      <c r="O6"/>
      <c r="P6" s="59"/>
      <c r="Q6" s="66"/>
    </row>
    <row r="7" spans="1:17" x14ac:dyDescent="0.25">
      <c r="A7" t="s">
        <v>187</v>
      </c>
      <c r="C7" s="115">
        <f>C6*10</f>
        <v>0</v>
      </c>
      <c r="D7" s="122">
        <f>C7/10</f>
        <v>0</v>
      </c>
      <c r="E7" s="58" t="e">
        <f>D7/D11</f>
        <v>#DIV/0!</v>
      </c>
      <c r="F7" s="60"/>
      <c r="G7" s="67"/>
      <c r="H7" t="s">
        <v>158</v>
      </c>
      <c r="I7" s="122">
        <f>C7/10</f>
        <v>0</v>
      </c>
      <c r="J7" s="58" t="e">
        <f>I7/I11</f>
        <v>#DIV/0!</v>
      </c>
      <c r="K7" s="60"/>
      <c r="L7" s="67"/>
      <c r="M7" s="4" t="s">
        <v>147</v>
      </c>
      <c r="N7" s="130">
        <f>(I8*10*-1)/2</f>
        <v>0</v>
      </c>
      <c r="O7" s="58"/>
      <c r="P7" s="60"/>
      <c r="Q7" s="67"/>
    </row>
    <row r="8" spans="1:17" x14ac:dyDescent="0.25">
      <c r="C8" s="115"/>
      <c r="D8" s="121"/>
      <c r="E8" s="58"/>
      <c r="F8" s="60"/>
      <c r="G8" s="67"/>
      <c r="H8" t="s">
        <v>146</v>
      </c>
      <c r="I8" s="125">
        <f>(C7/10)*16.666666%*-1</f>
        <v>0</v>
      </c>
      <c r="J8" s="58" t="e">
        <f>I8/I11</f>
        <v>#DIV/0!</v>
      </c>
      <c r="K8" s="79" t="e">
        <f>J7+J8</f>
        <v>#DIV/0!</v>
      </c>
      <c r="L8" s="67"/>
      <c r="N8" s="121"/>
      <c r="O8" s="58"/>
      <c r="P8" s="60"/>
      <c r="Q8" s="67"/>
    </row>
    <row r="9" spans="1:17" x14ac:dyDescent="0.25">
      <c r="A9" t="s">
        <v>184</v>
      </c>
      <c r="C9" s="114"/>
      <c r="D9" s="121">
        <f>C9</f>
        <v>0</v>
      </c>
      <c r="E9" s="58" t="e">
        <f>D9/D11</f>
        <v>#DIV/0!</v>
      </c>
      <c r="F9" s="60"/>
      <c r="G9" s="67"/>
      <c r="H9" t="s">
        <v>184</v>
      </c>
      <c r="I9" s="121">
        <f>C9</f>
        <v>0</v>
      </c>
      <c r="J9" s="58" t="e">
        <f>I9/I11</f>
        <v>#DIV/0!</v>
      </c>
      <c r="K9" s="60"/>
      <c r="L9" s="67"/>
      <c r="M9" t="s">
        <v>184</v>
      </c>
      <c r="N9" s="136"/>
      <c r="O9" s="58"/>
      <c r="P9" s="60"/>
      <c r="Q9" s="67"/>
    </row>
    <row r="10" spans="1:17" ht="15.75" thickBot="1" x14ac:dyDescent="0.3">
      <c r="A10" t="s">
        <v>183</v>
      </c>
      <c r="C10" s="114"/>
      <c r="D10" s="123">
        <f>C10</f>
        <v>0</v>
      </c>
      <c r="E10" s="58" t="e">
        <f>D10/D11</f>
        <v>#DIV/0!</v>
      </c>
      <c r="F10" s="60"/>
      <c r="G10" s="67"/>
      <c r="H10" t="s">
        <v>183</v>
      </c>
      <c r="I10" s="123">
        <f>C10</f>
        <v>0</v>
      </c>
      <c r="J10" s="58" t="e">
        <f>I10/I11</f>
        <v>#DIV/0!</v>
      </c>
      <c r="K10" s="60"/>
      <c r="L10" s="67"/>
      <c r="M10" t="s">
        <v>183</v>
      </c>
      <c r="N10" s="137"/>
      <c r="O10" s="58"/>
      <c r="P10" s="60"/>
      <c r="Q10" s="67"/>
    </row>
    <row r="11" spans="1:17" ht="15.75" thickTop="1" x14ac:dyDescent="0.25">
      <c r="A11" t="s">
        <v>125</v>
      </c>
      <c r="D11" s="124">
        <f>SUM(D7:D10)</f>
        <v>0</v>
      </c>
      <c r="E11" s="58" t="e">
        <f>SUM(E7:E10)</f>
        <v>#DIV/0!</v>
      </c>
      <c r="F11" s="62"/>
      <c r="G11" s="68"/>
      <c r="H11" t="s">
        <v>125</v>
      </c>
      <c r="I11" s="124">
        <f>SUM(I7:I10)</f>
        <v>0</v>
      </c>
      <c r="J11" s="58" t="e">
        <f>SUM(J7:J10)</f>
        <v>#DIV/0!</v>
      </c>
      <c r="K11" s="62"/>
      <c r="L11" s="68"/>
      <c r="M11" t="s">
        <v>125</v>
      </c>
      <c r="N11" s="124">
        <f>SUM(N7:N10)</f>
        <v>0</v>
      </c>
      <c r="O11" s="58"/>
      <c r="P11" s="62"/>
      <c r="Q11" s="68"/>
    </row>
    <row r="12" spans="1:17" x14ac:dyDescent="0.25">
      <c r="D12" s="121"/>
      <c r="E12" s="59"/>
      <c r="F12" s="59"/>
      <c r="G12" s="66"/>
      <c r="I12" s="121"/>
      <c r="J12" s="59"/>
      <c r="K12" s="59"/>
      <c r="L12" s="66"/>
      <c r="N12" s="121"/>
      <c r="O12" s="59"/>
      <c r="P12" s="59"/>
      <c r="Q12" s="66"/>
    </row>
    <row r="13" spans="1:17" x14ac:dyDescent="0.25">
      <c r="D13" s="121"/>
      <c r="E13" s="59"/>
      <c r="F13" s="59"/>
      <c r="G13" s="66"/>
      <c r="I13" s="121"/>
      <c r="J13" s="59"/>
      <c r="K13" s="59"/>
      <c r="L13" s="66"/>
      <c r="N13" s="121"/>
      <c r="O13" s="59"/>
      <c r="P13" s="59"/>
      <c r="Q13" s="66"/>
    </row>
    <row r="14" spans="1:17" x14ac:dyDescent="0.25">
      <c r="A14" s="2" t="s">
        <v>4</v>
      </c>
      <c r="D14" s="121"/>
      <c r="E14" s="63" t="s">
        <v>134</v>
      </c>
      <c r="F14" s="63" t="s">
        <v>135</v>
      </c>
      <c r="G14" s="69"/>
      <c r="H14" s="2" t="s">
        <v>4</v>
      </c>
      <c r="I14" s="121"/>
      <c r="J14" s="63" t="s">
        <v>134</v>
      </c>
      <c r="K14" s="63" t="s">
        <v>135</v>
      </c>
      <c r="L14" s="69"/>
      <c r="M14" s="2" t="s">
        <v>4</v>
      </c>
      <c r="N14" s="121"/>
      <c r="O14" s="63" t="s">
        <v>134</v>
      </c>
      <c r="P14" s="63" t="s">
        <v>135</v>
      </c>
      <c r="Q14" s="66"/>
    </row>
    <row r="15" spans="1:17" x14ac:dyDescent="0.25">
      <c r="A15" t="s">
        <v>142</v>
      </c>
      <c r="B15" s="110"/>
      <c r="C15" s="115">
        <f>IF(B15='Filing Status'!H2,'Filing Status'!I2,
IF('Pay Check Comparision'!B15='Filing Status'!H3,'Filing Status'!I3,
IF('Pay Check Comparision'!B15='Filing Status'!H4,'Filing Status'!I4,
IF('Pay Check Comparision'!B15='Filing Status'!H5,'Filing Status'!I5,
IF('Pay Check Comparision'!B15='Filing Status'!H6,'Filing Status'!I6,
IF('Pay Check Comparision'!B15='Filing Status'!H7,'Filing Status'!I7,
IF('Pay Check Comparision'!B15='Filing Status'!H8,'Filing Status'!I8,
IF('Pay Check Comparision'!B15='Filing Status'!H9,'Filing Status'!I9,
IF('Pay Check Comparision'!B15='Filing Status'!H10,'Filing Status'!I10,
0)))))))))</f>
        <v>0</v>
      </c>
      <c r="D15" s="125">
        <f>(D7+D9)*C15*-1</f>
        <v>0</v>
      </c>
      <c r="E15" s="59">
        <f>D7*C15*-1</f>
        <v>0</v>
      </c>
      <c r="F15" s="59">
        <f>C9*C15*-1</f>
        <v>0</v>
      </c>
      <c r="G15" s="66"/>
      <c r="H15" t="s">
        <v>142</v>
      </c>
      <c r="I15" s="125">
        <f>D15</f>
        <v>0</v>
      </c>
      <c r="J15" s="59">
        <f>E15</f>
        <v>0</v>
      </c>
      <c r="K15" s="59">
        <f>F15</f>
        <v>0</v>
      </c>
      <c r="L15" s="66"/>
      <c r="M15" t="s">
        <v>142</v>
      </c>
      <c r="N15" s="125">
        <f>N9*C15</f>
        <v>0</v>
      </c>
      <c r="O15" s="59">
        <v>0</v>
      </c>
      <c r="P15" s="59">
        <f>N9*C15</f>
        <v>0</v>
      </c>
      <c r="Q15" s="66"/>
    </row>
    <row r="16" spans="1:17" x14ac:dyDescent="0.25">
      <c r="A16" t="s">
        <v>191</v>
      </c>
      <c r="C16" s="114"/>
      <c r="D16" s="121">
        <f>C16*-1</f>
        <v>0</v>
      </c>
      <c r="E16" s="59" t="e">
        <f t="shared" ref="E16:E26" si="0">D16*$E$7</f>
        <v>#DIV/0!</v>
      </c>
      <c r="F16" s="59" t="e">
        <f t="shared" ref="F16:F26" si="1">SUM($E$9:$E$10)*D16</f>
        <v>#DIV/0!</v>
      </c>
      <c r="G16" s="66"/>
      <c r="H16" t="s">
        <v>191</v>
      </c>
      <c r="I16" s="121">
        <f>(D16*10)/12</f>
        <v>0</v>
      </c>
      <c r="J16" s="59" t="e">
        <f>I16*$K$8</f>
        <v>#DIV/0!</v>
      </c>
      <c r="K16" s="59" t="e">
        <f>SUM($J$9:$J$10)*I16</f>
        <v>#DIV/0!</v>
      </c>
      <c r="L16" s="66"/>
      <c r="M16" t="s">
        <v>191</v>
      </c>
      <c r="N16" s="121">
        <f>I16</f>
        <v>0</v>
      </c>
      <c r="O16" s="59" t="e">
        <f>N16*$E$7</f>
        <v>#DIV/0!</v>
      </c>
      <c r="P16" s="59" t="e">
        <f>SUM($E$9:$E$10)*N16</f>
        <v>#DIV/0!</v>
      </c>
      <c r="Q16" s="66"/>
    </row>
    <row r="17" spans="1:17" x14ac:dyDescent="0.25">
      <c r="A17" t="s">
        <v>182</v>
      </c>
      <c r="C17" s="114"/>
      <c r="D17" s="121">
        <f>C17*1</f>
        <v>0</v>
      </c>
      <c r="E17" s="59" t="e">
        <f t="shared" si="0"/>
        <v>#DIV/0!</v>
      </c>
      <c r="F17" s="59" t="e">
        <f t="shared" si="1"/>
        <v>#DIV/0!</v>
      </c>
      <c r="G17" s="66"/>
      <c r="H17" t="s">
        <v>182</v>
      </c>
      <c r="I17" s="121">
        <f>(D17*10)/12</f>
        <v>0</v>
      </c>
      <c r="J17" s="59" t="e">
        <f>I17*$K$8</f>
        <v>#DIV/0!</v>
      </c>
      <c r="K17" s="59" t="e">
        <f>SUM($J$9:$J$10)*I17</f>
        <v>#DIV/0!</v>
      </c>
      <c r="L17" s="66"/>
      <c r="M17" t="s">
        <v>182</v>
      </c>
      <c r="N17" s="121">
        <f>I17</f>
        <v>0</v>
      </c>
      <c r="O17" s="59" t="e">
        <f>N17*$E$7</f>
        <v>#DIV/0!</v>
      </c>
      <c r="P17" s="59" t="e">
        <f>SUM($E$9:$E$10)*N17</f>
        <v>#DIV/0!</v>
      </c>
      <c r="Q17" s="66"/>
    </row>
    <row r="18" spans="1:17" x14ac:dyDescent="0.25">
      <c r="A18" t="s">
        <v>188</v>
      </c>
      <c r="C18" s="114"/>
      <c r="D18" s="121">
        <f>C18*-1</f>
        <v>0</v>
      </c>
      <c r="E18" s="59" t="e">
        <f t="shared" si="0"/>
        <v>#DIV/0!</v>
      </c>
      <c r="F18" s="59" t="e">
        <f t="shared" si="1"/>
        <v>#DIV/0!</v>
      </c>
      <c r="G18" s="66"/>
      <c r="H18" t="s">
        <v>188</v>
      </c>
      <c r="I18" s="121">
        <f>(D18*10)/12</f>
        <v>0</v>
      </c>
      <c r="J18" s="59" t="e">
        <f>I18*$K$8</f>
        <v>#DIV/0!</v>
      </c>
      <c r="K18" s="59" t="e">
        <f>SUM($J$9:$J$10)*I18</f>
        <v>#DIV/0!</v>
      </c>
      <c r="L18" s="66"/>
      <c r="M18" t="s">
        <v>188</v>
      </c>
      <c r="N18" s="125">
        <f t="shared" ref="N18:N26" si="2">I18</f>
        <v>0</v>
      </c>
      <c r="O18" s="59" t="e">
        <f>N18*$E$7</f>
        <v>#DIV/0!</v>
      </c>
      <c r="P18" s="59" t="e">
        <f>SUM($E$9:$E$10)*N18</f>
        <v>#DIV/0!</v>
      </c>
      <c r="Q18" s="66"/>
    </row>
    <row r="19" spans="1:17" x14ac:dyDescent="0.25">
      <c r="A19" t="s">
        <v>200</v>
      </c>
      <c r="C19" s="114"/>
      <c r="D19" s="121">
        <f>C19*-1</f>
        <v>0</v>
      </c>
      <c r="E19" s="59" t="e">
        <f t="shared" si="0"/>
        <v>#DIV/0!</v>
      </c>
      <c r="F19" s="59" t="e">
        <f t="shared" si="1"/>
        <v>#DIV/0!</v>
      </c>
      <c r="G19" s="66"/>
      <c r="H19" t="s">
        <v>200</v>
      </c>
      <c r="I19" s="121">
        <f t="shared" ref="I19:I26" si="3">D19</f>
        <v>0</v>
      </c>
      <c r="J19" s="59" t="e">
        <f>I19*$K$8</f>
        <v>#DIV/0!</v>
      </c>
      <c r="K19" s="59" t="e">
        <f>SUM($J$9:$J$10)*I19</f>
        <v>#DIV/0!</v>
      </c>
      <c r="L19" s="66"/>
      <c r="M19" t="s">
        <v>200</v>
      </c>
      <c r="N19" s="121">
        <f t="shared" si="2"/>
        <v>0</v>
      </c>
      <c r="O19" s="59" t="e">
        <f>N19*$E$7</f>
        <v>#DIV/0!</v>
      </c>
      <c r="P19" s="59" t="e">
        <f>SUM($E$9:$E$10)*N19</f>
        <v>#DIV/0!</v>
      </c>
      <c r="Q19" s="66"/>
    </row>
    <row r="20" spans="1:17" x14ac:dyDescent="0.25">
      <c r="A20" t="s">
        <v>189</v>
      </c>
      <c r="C20" s="114"/>
      <c r="D20" s="121">
        <f t="shared" ref="D20:D26" si="4">C20*-1</f>
        <v>0</v>
      </c>
      <c r="E20" s="59" t="e">
        <f t="shared" si="0"/>
        <v>#DIV/0!</v>
      </c>
      <c r="F20" s="59" t="e">
        <f t="shared" si="1"/>
        <v>#DIV/0!</v>
      </c>
      <c r="G20" s="66"/>
      <c r="H20" t="s">
        <v>189</v>
      </c>
      <c r="I20" s="121">
        <f>(D20*10)/12</f>
        <v>0</v>
      </c>
      <c r="J20" s="59" t="e">
        <f>I20*$K$8</f>
        <v>#DIV/0!</v>
      </c>
      <c r="K20" s="59" t="e">
        <f>SUM($J$9:$J$10)*I20</f>
        <v>#DIV/0!</v>
      </c>
      <c r="L20" s="66"/>
      <c r="M20" t="s">
        <v>189</v>
      </c>
      <c r="N20" s="121">
        <f t="shared" si="2"/>
        <v>0</v>
      </c>
      <c r="O20" s="59" t="e">
        <f>N20*$E$7</f>
        <v>#DIV/0!</v>
      </c>
      <c r="P20" s="59" t="e">
        <f>SUM($E$9:$E$10)*N20</f>
        <v>#DIV/0!</v>
      </c>
      <c r="Q20" s="66"/>
    </row>
    <row r="21" spans="1:17" x14ac:dyDescent="0.25">
      <c r="A21" t="s">
        <v>190</v>
      </c>
      <c r="C21" s="114"/>
      <c r="D21" s="121">
        <f t="shared" si="4"/>
        <v>0</v>
      </c>
      <c r="E21" s="59" t="e">
        <f t="shared" si="0"/>
        <v>#DIV/0!</v>
      </c>
      <c r="F21" s="59" t="e">
        <f t="shared" si="1"/>
        <v>#DIV/0!</v>
      </c>
      <c r="G21" s="66"/>
      <c r="H21" t="s">
        <v>190</v>
      </c>
      <c r="I21" s="121">
        <f t="shared" si="3"/>
        <v>0</v>
      </c>
      <c r="J21" s="59"/>
      <c r="K21" s="59"/>
      <c r="L21" s="66"/>
      <c r="M21" t="s">
        <v>190</v>
      </c>
      <c r="N21" s="121">
        <f t="shared" si="2"/>
        <v>0</v>
      </c>
      <c r="O21" s="59"/>
      <c r="P21" s="59"/>
      <c r="Q21" s="66"/>
    </row>
    <row r="22" spans="1:17" x14ac:dyDescent="0.25">
      <c r="A22" t="s">
        <v>196</v>
      </c>
      <c r="C22" s="114"/>
      <c r="D22" s="121">
        <f t="shared" si="4"/>
        <v>0</v>
      </c>
      <c r="E22" s="59" t="e">
        <f t="shared" si="0"/>
        <v>#DIV/0!</v>
      </c>
      <c r="F22" s="59" t="e">
        <f t="shared" si="1"/>
        <v>#DIV/0!</v>
      </c>
      <c r="G22" s="66"/>
      <c r="H22" t="s">
        <v>196</v>
      </c>
      <c r="I22" s="121">
        <f t="shared" si="3"/>
        <v>0</v>
      </c>
      <c r="J22" s="59" t="e">
        <f>I22*$K$8</f>
        <v>#DIV/0!</v>
      </c>
      <c r="K22" s="59" t="e">
        <f>SUM($J$9:$J$10)*I22</f>
        <v>#DIV/0!</v>
      </c>
      <c r="L22" s="66"/>
      <c r="M22" t="s">
        <v>196</v>
      </c>
      <c r="N22" s="121">
        <f t="shared" si="2"/>
        <v>0</v>
      </c>
      <c r="O22" s="59" t="e">
        <f>N22*$E$7</f>
        <v>#DIV/0!</v>
      </c>
      <c r="P22" s="59" t="e">
        <f>SUM($E$9:$E$10)*N22</f>
        <v>#DIV/0!</v>
      </c>
      <c r="Q22" s="66"/>
    </row>
    <row r="23" spans="1:17" x14ac:dyDescent="0.25">
      <c r="A23" t="s">
        <v>194</v>
      </c>
      <c r="C23" s="114"/>
      <c r="D23" s="125">
        <f>C23*-1</f>
        <v>0</v>
      </c>
      <c r="E23" s="59" t="e">
        <f t="shared" si="0"/>
        <v>#DIV/0!</v>
      </c>
      <c r="F23" s="59" t="e">
        <f t="shared" si="1"/>
        <v>#DIV/0!</v>
      </c>
      <c r="G23" s="66"/>
      <c r="H23" t="s">
        <v>126</v>
      </c>
      <c r="I23" s="121">
        <f>D23</f>
        <v>0</v>
      </c>
      <c r="J23" s="59" t="e">
        <f>I23*$K$8</f>
        <v>#DIV/0!</v>
      </c>
      <c r="K23" s="59" t="e">
        <f>SUM($J$9:$J$10)*I23</f>
        <v>#DIV/0!</v>
      </c>
      <c r="L23" s="66"/>
      <c r="M23" t="s">
        <v>126</v>
      </c>
      <c r="N23" s="121">
        <f>I23</f>
        <v>0</v>
      </c>
      <c r="O23" s="59" t="e">
        <f>N23*$E$7</f>
        <v>#DIV/0!</v>
      </c>
      <c r="P23" s="59" t="e">
        <f>SUM($E$9:$E$10)*N23</f>
        <v>#DIV/0!</v>
      </c>
      <c r="Q23" s="66"/>
    </row>
    <row r="24" spans="1:17" x14ac:dyDescent="0.25">
      <c r="A24" s="57" t="s">
        <v>195</v>
      </c>
      <c r="C24" s="114"/>
      <c r="D24" s="125">
        <f>C24*-1</f>
        <v>0</v>
      </c>
      <c r="E24" s="59" t="e">
        <f t="shared" si="0"/>
        <v>#DIV/0!</v>
      </c>
      <c r="F24" s="59" t="e">
        <f t="shared" si="1"/>
        <v>#DIV/0!</v>
      </c>
      <c r="G24" s="66"/>
      <c r="H24" s="57" t="s">
        <v>127</v>
      </c>
      <c r="I24" s="121">
        <f t="shared" si="3"/>
        <v>0</v>
      </c>
      <c r="J24" s="59" t="e">
        <f>I24*$K$8</f>
        <v>#DIV/0!</v>
      </c>
      <c r="K24" s="59" t="e">
        <f>SUM($J$9:$J$10)*I24</f>
        <v>#DIV/0!</v>
      </c>
      <c r="L24" s="66"/>
      <c r="M24" s="57" t="s">
        <v>127</v>
      </c>
      <c r="N24" s="121">
        <f t="shared" si="2"/>
        <v>0</v>
      </c>
      <c r="O24" s="59" t="e">
        <f>N24*$E$7</f>
        <v>#DIV/0!</v>
      </c>
      <c r="P24" s="59" t="e">
        <f>SUM($E$9:$E$10)*N24</f>
        <v>#DIV/0!</v>
      </c>
      <c r="Q24" s="66"/>
    </row>
    <row r="25" spans="1:17" x14ac:dyDescent="0.25">
      <c r="A25" t="s">
        <v>193</v>
      </c>
      <c r="C25" s="114"/>
      <c r="D25" s="121">
        <f>C25*-1</f>
        <v>0</v>
      </c>
      <c r="E25" s="59" t="e">
        <f t="shared" si="0"/>
        <v>#DIV/0!</v>
      </c>
      <c r="F25" s="59" t="e">
        <f t="shared" si="1"/>
        <v>#DIV/0!</v>
      </c>
      <c r="G25" s="66"/>
      <c r="H25" t="s">
        <v>193</v>
      </c>
      <c r="I25" s="121">
        <f>(D25*10)/12</f>
        <v>0</v>
      </c>
      <c r="J25" s="59" t="e">
        <f>I25*$K$8</f>
        <v>#DIV/0!</v>
      </c>
      <c r="K25" s="59" t="e">
        <f>SUM($J$9:$J$10)*I25</f>
        <v>#DIV/0!</v>
      </c>
      <c r="L25" s="66"/>
      <c r="M25" t="s">
        <v>193</v>
      </c>
      <c r="N25" s="121">
        <f>I25</f>
        <v>0</v>
      </c>
      <c r="O25" s="59" t="e">
        <f>N25*$E$7</f>
        <v>#DIV/0!</v>
      </c>
      <c r="P25" s="59" t="e">
        <f>SUM($E$9:$E$10)*N25</f>
        <v>#DIV/0!</v>
      </c>
      <c r="Q25" s="66"/>
    </row>
    <row r="26" spans="1:17" ht="15.75" thickBot="1" x14ac:dyDescent="0.3">
      <c r="A26" t="s">
        <v>5</v>
      </c>
      <c r="C26" s="114"/>
      <c r="D26" s="126">
        <f t="shared" si="4"/>
        <v>0</v>
      </c>
      <c r="E26" s="77" t="e">
        <f t="shared" si="0"/>
        <v>#DIV/0!</v>
      </c>
      <c r="F26" s="12" t="e">
        <f t="shared" si="1"/>
        <v>#DIV/0!</v>
      </c>
      <c r="G26" s="66"/>
      <c r="H26" s="111" t="s">
        <v>5</v>
      </c>
      <c r="I26" s="123">
        <f t="shared" si="3"/>
        <v>0</v>
      </c>
      <c r="J26" s="77" t="e">
        <f>I26*$K$8</f>
        <v>#DIV/0!</v>
      </c>
      <c r="K26" s="12" t="e">
        <f>SUM($J$9:$J$10)*I26</f>
        <v>#DIV/0!</v>
      </c>
      <c r="L26" s="66"/>
      <c r="M26" s="111" t="s">
        <v>5</v>
      </c>
      <c r="N26" s="123">
        <f t="shared" si="2"/>
        <v>0</v>
      </c>
      <c r="O26" s="77" t="e">
        <f>N26*$E$7</f>
        <v>#DIV/0!</v>
      </c>
      <c r="P26" s="12" t="e">
        <f>SUM($E$9:$E$10)*N26</f>
        <v>#DIV/0!</v>
      </c>
      <c r="Q26" s="99"/>
    </row>
    <row r="27" spans="1:17" ht="15.75" thickTop="1" x14ac:dyDescent="0.25">
      <c r="A27" s="1" t="s">
        <v>6</v>
      </c>
      <c r="D27" s="124">
        <f>SUM(D15:D26)</f>
        <v>0</v>
      </c>
      <c r="E27" s="3" t="e">
        <f>SUM(E16:E26)</f>
        <v>#DIV/0!</v>
      </c>
      <c r="F27" s="76" t="e">
        <f>SUM(F16:F26)</f>
        <v>#DIV/0!</v>
      </c>
      <c r="G27" s="68"/>
      <c r="H27" s="1" t="s">
        <v>6</v>
      </c>
      <c r="I27" s="124">
        <f>SUM(I15:I26)</f>
        <v>0</v>
      </c>
      <c r="J27" s="3" t="e">
        <f>SUM(J16:J26)</f>
        <v>#DIV/0!</v>
      </c>
      <c r="K27" s="76" t="e">
        <f>SUM(K16:K26)</f>
        <v>#DIV/0!</v>
      </c>
      <c r="L27" s="46"/>
      <c r="M27" s="1" t="s">
        <v>6</v>
      </c>
      <c r="N27" s="124">
        <f>SUM(N15:N26)</f>
        <v>0</v>
      </c>
      <c r="O27" s="3" t="e">
        <f>SUM(O16:O26)</f>
        <v>#DIV/0!</v>
      </c>
      <c r="P27" s="76" t="e">
        <f>SUM(P16:P26)</f>
        <v>#DIV/0!</v>
      </c>
      <c r="Q27" s="68"/>
    </row>
    <row r="28" spans="1:17" x14ac:dyDescent="0.25">
      <c r="D28" s="121"/>
      <c r="G28" s="66"/>
      <c r="I28" s="121"/>
      <c r="L28" s="69"/>
      <c r="M28" s="63"/>
      <c r="N28" s="121"/>
      <c r="Q28" s="66"/>
    </row>
    <row r="29" spans="1:17" x14ac:dyDescent="0.25">
      <c r="D29" s="121"/>
      <c r="E29" s="59"/>
      <c r="F29" s="59"/>
      <c r="G29" s="66"/>
      <c r="I29" s="121"/>
      <c r="J29" s="59"/>
      <c r="K29" s="59"/>
      <c r="L29" s="66"/>
      <c r="M29"/>
      <c r="N29" s="121"/>
      <c r="O29" s="59"/>
      <c r="P29" s="59"/>
      <c r="Q29" s="66"/>
    </row>
    <row r="30" spans="1:17" x14ac:dyDescent="0.25">
      <c r="A30" s="2" t="s">
        <v>24</v>
      </c>
      <c r="D30" s="121"/>
      <c r="E30" s="59"/>
      <c r="F30" s="59"/>
      <c r="G30" s="66"/>
      <c r="H30" s="2" t="s">
        <v>24</v>
      </c>
      <c r="I30" s="121"/>
      <c r="J30" s="59"/>
      <c r="K30" s="59"/>
      <c r="L30" s="66"/>
      <c r="M30" s="2" t="s">
        <v>24</v>
      </c>
      <c r="N30" s="121"/>
      <c r="O30" s="59"/>
      <c r="P30" s="59"/>
      <c r="Q30" s="66"/>
    </row>
    <row r="31" spans="1:17" x14ac:dyDescent="0.25">
      <c r="A31" t="s">
        <v>201</v>
      </c>
      <c r="C31" s="114"/>
      <c r="D31" s="121">
        <f>$C$31*-1</f>
        <v>0</v>
      </c>
      <c r="E31" s="59"/>
      <c r="F31" s="59"/>
      <c r="G31" s="66"/>
      <c r="H31" t="s">
        <v>201</v>
      </c>
      <c r="I31" s="121">
        <f>(D31*10)/12</f>
        <v>0</v>
      </c>
      <c r="J31" s="59"/>
      <c r="K31" s="59"/>
      <c r="L31" s="66"/>
      <c r="M31" t="s">
        <v>201</v>
      </c>
      <c r="N31" s="121">
        <f>(I31*10)/12</f>
        <v>0</v>
      </c>
      <c r="O31" s="59"/>
      <c r="P31" s="59"/>
      <c r="Q31" s="66"/>
    </row>
    <row r="32" spans="1:17" x14ac:dyDescent="0.25">
      <c r="A32" t="s">
        <v>192</v>
      </c>
      <c r="C32" s="114"/>
      <c r="D32" s="121">
        <f>$C$32*-1</f>
        <v>0</v>
      </c>
      <c r="E32" s="59"/>
      <c r="F32" s="59"/>
      <c r="G32" s="66"/>
      <c r="H32" t="s">
        <v>192</v>
      </c>
      <c r="I32" s="121">
        <f>(D32*10)/12</f>
        <v>0</v>
      </c>
      <c r="J32" s="59"/>
      <c r="K32" s="59"/>
      <c r="L32" s="66"/>
      <c r="M32" t="s">
        <v>192</v>
      </c>
      <c r="N32" s="121">
        <f>I32</f>
        <v>0</v>
      </c>
      <c r="O32" s="59"/>
      <c r="P32" s="59"/>
      <c r="Q32" s="66"/>
    </row>
    <row r="33" spans="1:17" x14ac:dyDescent="0.25">
      <c r="A33" t="s">
        <v>180</v>
      </c>
      <c r="C33" s="114"/>
      <c r="D33" s="121">
        <f>$C$33*-1</f>
        <v>0</v>
      </c>
      <c r="E33" s="59"/>
      <c r="F33" s="59"/>
      <c r="G33" s="66"/>
      <c r="H33" t="s">
        <v>180</v>
      </c>
      <c r="I33" s="121">
        <f>$C$33*-1</f>
        <v>0</v>
      </c>
      <c r="J33" s="59"/>
      <c r="K33" s="59"/>
      <c r="L33" s="66"/>
      <c r="M33" t="s">
        <v>180</v>
      </c>
      <c r="N33" s="121">
        <f>$C$33*-1</f>
        <v>0</v>
      </c>
      <c r="O33" s="59"/>
      <c r="P33" s="59"/>
      <c r="Q33" s="66"/>
    </row>
    <row r="34" spans="1:17" x14ac:dyDescent="0.25">
      <c r="A34" s="57" t="s">
        <v>181</v>
      </c>
      <c r="C34" s="114"/>
      <c r="D34" s="121">
        <f>$C$34*-1</f>
        <v>0</v>
      </c>
      <c r="E34" s="59"/>
      <c r="F34" s="59"/>
      <c r="G34" s="66"/>
      <c r="H34" s="57" t="s">
        <v>181</v>
      </c>
      <c r="I34" s="121">
        <f>$C$34*-1</f>
        <v>0</v>
      </c>
      <c r="J34" s="59"/>
      <c r="K34" s="59"/>
      <c r="L34" s="66"/>
      <c r="M34" s="57" t="s">
        <v>181</v>
      </c>
      <c r="N34" s="121">
        <f>$C$34*-1</f>
        <v>0</v>
      </c>
      <c r="O34" s="59"/>
      <c r="P34" s="59"/>
      <c r="Q34" s="66"/>
    </row>
    <row r="35" spans="1:17" x14ac:dyDescent="0.25">
      <c r="A35" s="57" t="s">
        <v>202</v>
      </c>
      <c r="C35" s="114"/>
      <c r="D35" s="121">
        <f>$C$35*-1</f>
        <v>0</v>
      </c>
      <c r="E35" s="59"/>
      <c r="F35" s="59"/>
      <c r="G35" s="66"/>
      <c r="H35" s="57" t="s">
        <v>202</v>
      </c>
      <c r="I35" s="121">
        <f>$C$35*-1</f>
        <v>0</v>
      </c>
      <c r="J35" s="59"/>
      <c r="K35" s="59"/>
      <c r="L35" s="66"/>
      <c r="M35" s="57" t="s">
        <v>202</v>
      </c>
      <c r="N35" s="121">
        <f>$C$35*-1</f>
        <v>0</v>
      </c>
      <c r="O35" s="59"/>
      <c r="P35" s="59"/>
      <c r="Q35" s="66"/>
    </row>
    <row r="36" spans="1:17" ht="15.75" thickBot="1" x14ac:dyDescent="0.3">
      <c r="A36" s="8" t="s">
        <v>25</v>
      </c>
      <c r="C36" s="114"/>
      <c r="D36" s="123">
        <f>$C$36*-1</f>
        <v>0</v>
      </c>
      <c r="E36" s="59"/>
      <c r="F36" s="59"/>
      <c r="G36" s="66"/>
      <c r="H36" s="8" t="s">
        <v>25</v>
      </c>
      <c r="I36" s="123">
        <f>$C$36*-1</f>
        <v>0</v>
      </c>
      <c r="J36" s="59"/>
      <c r="K36" s="59"/>
      <c r="L36" s="66"/>
      <c r="M36" s="8" t="s">
        <v>25</v>
      </c>
      <c r="N36" s="123">
        <f>$C$36*-1</f>
        <v>0</v>
      </c>
      <c r="O36" s="59"/>
      <c r="P36" s="59"/>
      <c r="Q36" s="66"/>
    </row>
    <row r="37" spans="1:17" ht="15.75" thickTop="1" x14ac:dyDescent="0.25">
      <c r="A37" s="1" t="s">
        <v>26</v>
      </c>
      <c r="D37" s="124">
        <f>SUM(D31:D36)</f>
        <v>0</v>
      </c>
      <c r="E37" s="62"/>
      <c r="F37" s="62"/>
      <c r="G37" s="68"/>
      <c r="H37" s="1" t="s">
        <v>26</v>
      </c>
      <c r="I37" s="124">
        <f>SUM(I31:I36)</f>
        <v>0</v>
      </c>
      <c r="J37" s="62"/>
      <c r="K37" s="62"/>
      <c r="L37" s="68"/>
      <c r="M37" s="1" t="s">
        <v>26</v>
      </c>
      <c r="N37" s="124">
        <v>0</v>
      </c>
      <c r="O37" s="62"/>
      <c r="P37" s="62"/>
      <c r="Q37" s="68"/>
    </row>
    <row r="38" spans="1:17" x14ac:dyDescent="0.25">
      <c r="D38" s="121"/>
      <c r="E38" t="s">
        <v>134</v>
      </c>
      <c r="F38" t="s">
        <v>137</v>
      </c>
      <c r="G38" s="66"/>
      <c r="I38" s="121"/>
      <c r="J38" t="s">
        <v>134</v>
      </c>
      <c r="K38" t="s">
        <v>137</v>
      </c>
      <c r="L38" s="78"/>
      <c r="N38" s="121"/>
      <c r="O38" t="s">
        <v>134</v>
      </c>
      <c r="P38" t="s">
        <v>137</v>
      </c>
      <c r="Q38" s="66"/>
    </row>
    <row r="39" spans="1:17" x14ac:dyDescent="0.25">
      <c r="A39" s="118" t="s">
        <v>197</v>
      </c>
      <c r="D39" s="121"/>
      <c r="E39" s="59"/>
      <c r="F39" s="59"/>
      <c r="G39" s="66"/>
      <c r="I39" s="121"/>
      <c r="J39" s="59"/>
      <c r="K39" s="59"/>
      <c r="L39" s="66"/>
      <c r="N39" s="121"/>
      <c r="O39" s="59"/>
      <c r="P39" s="59"/>
      <c r="Q39" s="66"/>
    </row>
    <row r="40" spans="1:17" ht="15.75" thickBot="1" x14ac:dyDescent="0.3">
      <c r="A40" s="41" t="s">
        <v>0</v>
      </c>
      <c r="D40" s="126"/>
      <c r="E40" s="3" t="e">
        <f>$D$7+$E$15+$E$27</f>
        <v>#DIV/0!</v>
      </c>
      <c r="F40" s="3" t="e">
        <f>(D9+D10)+F15+F27</f>
        <v>#DIV/0!</v>
      </c>
      <c r="G40" s="66"/>
      <c r="H40" s="41" t="s">
        <v>0</v>
      </c>
      <c r="I40" s="126"/>
      <c r="J40" s="3" t="e">
        <f>I7+I8+J15+J27</f>
        <v>#DIV/0!</v>
      </c>
      <c r="K40" s="3" t="e">
        <f>(I9+I10)+K15+K27</f>
        <v>#DIV/0!</v>
      </c>
      <c r="L40" s="69"/>
      <c r="M40" s="41" t="s">
        <v>0</v>
      </c>
      <c r="N40" s="126"/>
      <c r="O40" s="3" t="e">
        <f>N7+O27</f>
        <v>#DIV/0!</v>
      </c>
      <c r="P40" s="3">
        <f>SUM(N9:N10)-P15</f>
        <v>0</v>
      </c>
      <c r="Q40" s="66"/>
    </row>
    <row r="41" spans="1:17" ht="15.75" thickTop="1" x14ac:dyDescent="0.25">
      <c r="A41" s="4" t="s">
        <v>7</v>
      </c>
      <c r="C41" s="115" t="s">
        <v>134</v>
      </c>
      <c r="D41" s="125" t="e">
        <f>E40</f>
        <v>#DIV/0!</v>
      </c>
      <c r="E41" s="59"/>
      <c r="F41" s="59" t="e">
        <f>D41-E41</f>
        <v>#DIV/0!</v>
      </c>
      <c r="G41" s="66"/>
      <c r="H41" s="4" t="s">
        <v>7</v>
      </c>
      <c r="I41" s="125" t="e">
        <f>J40</f>
        <v>#DIV/0!</v>
      </c>
      <c r="J41" s="59"/>
      <c r="K41" s="59"/>
      <c r="L41" s="66"/>
      <c r="M41" s="4" t="s">
        <v>7</v>
      </c>
      <c r="N41" s="125" t="e">
        <f>O40</f>
        <v>#DIV/0!</v>
      </c>
      <c r="O41" s="59"/>
      <c r="P41" s="59"/>
      <c r="Q41" s="66"/>
    </row>
    <row r="42" spans="1:17" x14ac:dyDescent="0.25">
      <c r="A42" s="4"/>
      <c r="C42" s="115" t="s">
        <v>135</v>
      </c>
      <c r="D42" s="125" t="e">
        <f>F40</f>
        <v>#DIV/0!</v>
      </c>
      <c r="E42" s="59"/>
      <c r="F42" s="59"/>
      <c r="G42" s="66"/>
      <c r="H42" s="4"/>
      <c r="I42" s="125" t="e">
        <f>K40</f>
        <v>#DIV/0!</v>
      </c>
      <c r="J42" s="59"/>
      <c r="K42" s="59"/>
      <c r="L42" s="66"/>
      <c r="N42" s="125">
        <f>P40</f>
        <v>0</v>
      </c>
      <c r="O42" s="59"/>
      <c r="P42" s="59"/>
      <c r="Q42" s="66"/>
    </row>
    <row r="43" spans="1:17" x14ac:dyDescent="0.25">
      <c r="A43" s="4" t="s">
        <v>12</v>
      </c>
      <c r="C43" s="114"/>
      <c r="D43" s="125"/>
      <c r="E43" s="59"/>
      <c r="F43" s="59"/>
      <c r="G43" s="66"/>
      <c r="H43" s="4"/>
      <c r="I43" s="125"/>
      <c r="J43" s="59"/>
      <c r="K43" s="59"/>
      <c r="L43" s="66"/>
      <c r="N43" s="125"/>
      <c r="O43" s="59"/>
      <c r="P43" s="59"/>
      <c r="Q43" s="66"/>
    </row>
    <row r="44" spans="1:17" x14ac:dyDescent="0.25">
      <c r="A44" s="40" t="s">
        <v>42</v>
      </c>
      <c r="C44" s="114"/>
      <c r="D44" s="125"/>
      <c r="E44" s="59"/>
      <c r="F44" s="59"/>
      <c r="G44" s="66"/>
      <c r="H44" s="40"/>
      <c r="I44" s="125"/>
      <c r="J44" s="59"/>
      <c r="K44" s="59"/>
      <c r="L44" s="66"/>
      <c r="M44" s="40"/>
      <c r="N44" s="125"/>
      <c r="O44" s="59"/>
      <c r="P44" s="59"/>
      <c r="Q44" s="66"/>
    </row>
    <row r="45" spans="1:17" ht="24.75" customHeight="1" x14ac:dyDescent="0.25">
      <c r="A45" s="40" t="str">
        <f>IF($C$44='Filing Status'!$E$2,"Box Step 2 of 2020 W-4 or Later"," ")</f>
        <v xml:space="preserve"> </v>
      </c>
      <c r="C45" s="114"/>
      <c r="D45" s="125"/>
      <c r="E45" s="59"/>
      <c r="F45" s="59"/>
      <c r="G45" s="66"/>
      <c r="H45" s="40" t="str">
        <f>IF($C$44='Filing Status'!$E$2,"Box Step 2 of 2020 W-4 or Later"," ")</f>
        <v xml:space="preserve"> </v>
      </c>
      <c r="I45" s="125"/>
      <c r="J45" s="59"/>
      <c r="K45" s="59"/>
      <c r="L45" s="66"/>
      <c r="M45" s="40" t="str">
        <f>IF($C$44='Filing Status'!$E$2,"Box Step 2 of 2020 W-4 or Later"," ")</f>
        <v xml:space="preserve"> </v>
      </c>
      <c r="N45" s="125"/>
      <c r="O45" s="59"/>
      <c r="P45" s="59"/>
      <c r="Q45" s="66"/>
    </row>
    <row r="46" spans="1:17" ht="33.75" customHeight="1" x14ac:dyDescent="0.25">
      <c r="A46" s="43" t="s">
        <v>179</v>
      </c>
      <c r="C46" s="114">
        <v>0</v>
      </c>
      <c r="D46" s="125"/>
      <c r="E46" s="59"/>
      <c r="F46" s="59"/>
      <c r="G46" s="66"/>
      <c r="H46" s="43"/>
      <c r="I46" s="125"/>
      <c r="J46" s="59"/>
      <c r="K46" s="59"/>
      <c r="L46" s="66"/>
      <c r="M46" s="43"/>
      <c r="N46" s="125"/>
      <c r="O46" s="59"/>
      <c r="P46" s="59"/>
      <c r="Q46" s="66"/>
    </row>
    <row r="47" spans="1:17" x14ac:dyDescent="0.25">
      <c r="A47" s="40" t="str">
        <f>IF($C$44='Filing Status'!$E$3,"Prior to 2020 W-4 -enter number of allowances", " ")</f>
        <v xml:space="preserve"> </v>
      </c>
      <c r="C47" s="114"/>
      <c r="D47" s="125"/>
      <c r="E47" s="59"/>
      <c r="F47" s="59"/>
      <c r="G47" s="66"/>
      <c r="H47" s="40"/>
      <c r="I47" s="125"/>
      <c r="J47" s="59"/>
      <c r="K47" s="59"/>
      <c r="L47" s="66"/>
      <c r="M47" s="40"/>
      <c r="N47" s="125"/>
      <c r="O47" s="59"/>
      <c r="P47" s="59"/>
      <c r="Q47" s="66"/>
    </row>
    <row r="48" spans="1:17" x14ac:dyDescent="0.25">
      <c r="A48" t="str">
        <f>IF($C$44='Filing Status'!$E$2,"2020 W-4 or later line 4(a) Other Income"," ")</f>
        <v xml:space="preserve"> </v>
      </c>
      <c r="C48" s="114">
        <v>0</v>
      </c>
      <c r="D48" s="125"/>
      <c r="E48" s="59"/>
      <c r="F48" s="59"/>
      <c r="G48" s="66"/>
      <c r="H48" t="str">
        <f>IF($C$44='Filing Status'!$E$2,"2020 W-4 or later line 4(a) Other Income"," ")</f>
        <v xml:space="preserve"> </v>
      </c>
      <c r="I48" s="125"/>
      <c r="J48" s="59"/>
      <c r="K48" s="59"/>
      <c r="L48" s="66"/>
      <c r="M48" t="str">
        <f>IF($C$44='Filing Status'!$E$2,"2020 W-4 or later line 4(a) Other Income"," ")</f>
        <v xml:space="preserve"> </v>
      </c>
      <c r="N48" s="125"/>
      <c r="O48" s="59"/>
      <c r="P48" s="59"/>
      <c r="Q48" s="66"/>
    </row>
    <row r="49" spans="1:17" x14ac:dyDescent="0.25">
      <c r="A49" t="str">
        <f>IF($C$44='Filing Status'!$E$2,"2020 W-4 or later 4(b) Deductions"," ")</f>
        <v xml:space="preserve"> </v>
      </c>
      <c r="C49" s="114">
        <v>0</v>
      </c>
      <c r="D49" s="125"/>
      <c r="E49" s="59"/>
      <c r="F49" s="59"/>
      <c r="G49" s="66"/>
      <c r="H49" t="str">
        <f>IF($C$44='Filing Status'!$E$2,"2020 W-4 or later 4(b) Deductions"," ")</f>
        <v xml:space="preserve"> </v>
      </c>
      <c r="I49" s="125"/>
      <c r="J49" s="59"/>
      <c r="K49" s="59"/>
      <c r="L49" s="66"/>
      <c r="M49" t="str">
        <f>IF($C$44='Filing Status'!$E$2,"2020 W-4 or later 4(b) Deductions"," ")</f>
        <v xml:space="preserve"> </v>
      </c>
      <c r="N49" s="125"/>
      <c r="O49" s="59"/>
      <c r="P49" s="59"/>
      <c r="Q49" s="66"/>
    </row>
    <row r="50" spans="1:17" ht="15.75" thickBot="1" x14ac:dyDescent="0.3">
      <c r="A50" s="4" t="str">
        <f>IF($C$44='Filing Status'!$E$2,"2020 W-4 or later Step 3 on Form"," ")</f>
        <v xml:space="preserve"> </v>
      </c>
      <c r="C50" s="117"/>
      <c r="D50" s="126"/>
      <c r="E50" s="59"/>
      <c r="F50" s="59"/>
      <c r="G50" s="66"/>
      <c r="H50" s="4" t="str">
        <f>IF($C$44='Filing Status'!$E$2,"2020 W-4 or later Step 3 on Form"," ")</f>
        <v xml:space="preserve"> </v>
      </c>
      <c r="I50" s="126"/>
      <c r="J50" s="59"/>
      <c r="K50" s="59"/>
      <c r="L50" s="66"/>
      <c r="M50" s="4" t="str">
        <f>IF($C$44='Filing Status'!$E$2,"2020 W-4 or later Step 3 on Form"," ")</f>
        <v xml:space="preserve"> </v>
      </c>
      <c r="N50" s="126"/>
      <c r="O50" s="59"/>
      <c r="P50" s="59"/>
      <c r="Q50" s="66"/>
    </row>
    <row r="51" spans="1:17" ht="15.75" thickTop="1" x14ac:dyDescent="0.25">
      <c r="A51" s="4" t="s">
        <v>185</v>
      </c>
      <c r="C51" s="114"/>
      <c r="D51" s="125" t="e">
        <f>D42*22%</f>
        <v>#DIV/0!</v>
      </c>
      <c r="E51" s="59"/>
      <c r="F51" s="59"/>
      <c r="G51" s="66"/>
      <c r="H51" s="4" t="s">
        <v>185</v>
      </c>
      <c r="I51" s="125" t="e">
        <f>I42*22%</f>
        <v>#DIV/0!</v>
      </c>
      <c r="J51" s="59"/>
      <c r="K51" s="59"/>
      <c r="L51" s="66"/>
      <c r="M51" s="4" t="s">
        <v>185</v>
      </c>
      <c r="N51" s="125">
        <f>N42*22%</f>
        <v>0</v>
      </c>
      <c r="O51" s="59"/>
      <c r="P51" s="59"/>
      <c r="Q51" s="66"/>
    </row>
    <row r="52" spans="1:17" x14ac:dyDescent="0.25">
      <c r="A52" s="4" t="s">
        <v>133</v>
      </c>
      <c r="C52" s="114"/>
      <c r="D52" s="125">
        <f>'Federal Withholding  Hidden '!D44</f>
        <v>0</v>
      </c>
      <c r="E52" s="60"/>
      <c r="F52" s="60"/>
      <c r="G52" s="67"/>
      <c r="H52" s="4" t="s">
        <v>133</v>
      </c>
      <c r="I52" s="125">
        <f>'Federal Withholding  Hidden '!E44</f>
        <v>0</v>
      </c>
      <c r="J52" s="60"/>
      <c r="K52" s="60"/>
      <c r="L52" s="67"/>
      <c r="M52" s="4" t="s">
        <v>133</v>
      </c>
      <c r="N52" s="125">
        <f>'Federal Withholding  Hidden '!F44</f>
        <v>0</v>
      </c>
      <c r="O52" s="60"/>
      <c r="P52" s="60"/>
      <c r="Q52" s="67"/>
    </row>
    <row r="53" spans="1:17" x14ac:dyDescent="0.25">
      <c r="A53" s="42" t="s">
        <v>8</v>
      </c>
      <c r="C53" s="115"/>
      <c r="D53" s="127" t="e">
        <f>SUM(D51:D52)</f>
        <v>#DIV/0!</v>
      </c>
      <c r="E53" s="62"/>
      <c r="F53" s="62"/>
      <c r="G53" s="68"/>
      <c r="H53" s="42" t="s">
        <v>8</v>
      </c>
      <c r="I53" s="127" t="e">
        <f>SUM(I51:I52)</f>
        <v>#DIV/0!</v>
      </c>
      <c r="J53" s="62"/>
      <c r="K53" s="62"/>
      <c r="L53" s="68"/>
      <c r="M53" s="42" t="s">
        <v>8</v>
      </c>
      <c r="N53" s="127">
        <f>SUM(N51:N52)</f>
        <v>0</v>
      </c>
      <c r="O53" s="62"/>
      <c r="P53" s="62"/>
      <c r="Q53" s="68"/>
    </row>
    <row r="54" spans="1:17" x14ac:dyDescent="0.25">
      <c r="D54" s="121"/>
      <c r="E54" s="59"/>
      <c r="F54" s="59"/>
      <c r="G54" s="66"/>
      <c r="I54" s="121"/>
      <c r="J54" s="59"/>
      <c r="K54" s="59"/>
      <c r="L54" s="66"/>
      <c r="M54"/>
      <c r="N54" s="121"/>
      <c r="O54" s="59"/>
      <c r="P54" s="59"/>
      <c r="Q54" s="66"/>
    </row>
    <row r="55" spans="1:17" x14ac:dyDescent="0.25">
      <c r="D55" s="121"/>
      <c r="E55" s="59"/>
      <c r="F55" s="59"/>
      <c r="G55" s="66"/>
      <c r="I55" s="121"/>
      <c r="J55" s="59"/>
      <c r="K55" s="59"/>
      <c r="L55" s="66"/>
      <c r="M55"/>
      <c r="N55" s="121"/>
      <c r="O55" s="59"/>
      <c r="P55" s="59"/>
      <c r="Q55" s="66"/>
    </row>
    <row r="56" spans="1:17" x14ac:dyDescent="0.25">
      <c r="A56" s="2" t="s">
        <v>10</v>
      </c>
      <c r="D56" s="121"/>
      <c r="E56" s="59"/>
      <c r="F56" s="59"/>
      <c r="G56" s="66"/>
      <c r="H56" s="2" t="s">
        <v>10</v>
      </c>
      <c r="I56" s="121"/>
      <c r="J56" s="59"/>
      <c r="K56" s="59"/>
      <c r="L56" s="66"/>
      <c r="M56" s="2" t="s">
        <v>10</v>
      </c>
      <c r="N56" s="121"/>
      <c r="O56" s="59"/>
      <c r="P56" s="59"/>
      <c r="Q56" s="66"/>
    </row>
    <row r="57" spans="1:17" x14ac:dyDescent="0.25">
      <c r="A57" t="s">
        <v>11</v>
      </c>
      <c r="C57" s="114" t="s">
        <v>1</v>
      </c>
      <c r="D57" s="121"/>
      <c r="E57" s="59"/>
      <c r="F57" s="59"/>
      <c r="G57" s="66"/>
      <c r="I57" s="121"/>
      <c r="J57" s="59"/>
      <c r="K57" s="59"/>
      <c r="L57" s="66"/>
      <c r="M57"/>
      <c r="N57" s="121"/>
      <c r="O57" s="59"/>
      <c r="P57" s="59"/>
      <c r="Q57" s="66"/>
    </row>
    <row r="58" spans="1:17" x14ac:dyDescent="0.25">
      <c r="A58" t="s">
        <v>13</v>
      </c>
      <c r="C58" s="116"/>
      <c r="D58" s="121"/>
      <c r="E58" s="59"/>
      <c r="F58" s="59"/>
      <c r="G58" s="66"/>
      <c r="I58" s="121"/>
      <c r="J58" s="59"/>
      <c r="K58" s="59"/>
      <c r="L58" s="66"/>
      <c r="M58"/>
      <c r="N58" s="121"/>
      <c r="O58" s="59"/>
      <c r="P58" s="59"/>
      <c r="Q58" s="66"/>
    </row>
    <row r="59" spans="1:17" x14ac:dyDescent="0.25">
      <c r="A59" s="4" t="s">
        <v>155</v>
      </c>
      <c r="C59" s="116"/>
      <c r="D59" s="121"/>
      <c r="E59" s="59"/>
      <c r="F59" s="59"/>
      <c r="G59" s="66"/>
      <c r="I59" s="121"/>
      <c r="J59" s="59"/>
      <c r="K59" s="59"/>
      <c r="L59" s="66"/>
      <c r="M59"/>
      <c r="N59" s="121"/>
      <c r="O59" s="59"/>
      <c r="P59" s="59"/>
      <c r="Q59" s="66"/>
    </row>
    <row r="60" spans="1:17" x14ac:dyDescent="0.25">
      <c r="A60" t="s">
        <v>128</v>
      </c>
      <c r="C60" s="114"/>
      <c r="D60" s="121"/>
      <c r="E60" s="59"/>
      <c r="F60" s="59"/>
      <c r="G60" s="66"/>
      <c r="I60" s="121"/>
      <c r="J60" s="59"/>
      <c r="K60" s="59"/>
      <c r="L60" s="66"/>
      <c r="M60"/>
      <c r="N60" s="121"/>
      <c r="O60" s="59"/>
      <c r="P60" s="59"/>
      <c r="Q60" s="66"/>
    </row>
    <row r="61" spans="1:17" ht="15.75" thickBot="1" x14ac:dyDescent="0.3">
      <c r="A61" t="s">
        <v>148</v>
      </c>
      <c r="D61" s="126" t="e">
        <f>SUM(D41:D42)</f>
        <v>#DIV/0!</v>
      </c>
      <c r="E61" s="59"/>
      <c r="F61" s="59"/>
      <c r="G61" s="66"/>
      <c r="H61" t="s">
        <v>148</v>
      </c>
      <c r="I61" s="126" t="e">
        <f>SUM(I41:I42)</f>
        <v>#DIV/0!</v>
      </c>
      <c r="J61" s="59"/>
      <c r="K61" s="59"/>
      <c r="L61" s="66"/>
      <c r="M61" t="s">
        <v>148</v>
      </c>
      <c r="N61" s="126" t="e">
        <f>SUM(N41:N42)</f>
        <v>#DIV/0!</v>
      </c>
      <c r="O61" s="59"/>
      <c r="P61" s="59"/>
      <c r="Q61" s="66"/>
    </row>
    <row r="62" spans="1:17" ht="15.75" thickTop="1" x14ac:dyDescent="0.25">
      <c r="A62" s="1" t="s">
        <v>14</v>
      </c>
      <c r="D62" s="127" t="e">
        <f>MAX('State Withholding Hidden'!C10,'State Withholding Hidden'!J10)+$C$60</f>
        <v>#DIV/0!</v>
      </c>
      <c r="E62" s="62"/>
      <c r="F62" s="62"/>
      <c r="G62" s="68"/>
      <c r="H62" s="1" t="s">
        <v>14</v>
      </c>
      <c r="I62" s="127" t="e">
        <f>MAX('State Withholding Hidden'!D10,'State Withholding Hidden'!K10)+$C$60</f>
        <v>#DIV/0!</v>
      </c>
      <c r="J62" s="62"/>
      <c r="K62" s="62"/>
      <c r="L62" s="68"/>
      <c r="M62" s="1" t="s">
        <v>14</v>
      </c>
      <c r="N62" s="127" t="e">
        <f>MAX('State Withholding Hidden'!E10,'State Withholding Hidden'!L10)+$C$60</f>
        <v>#DIV/0!</v>
      </c>
      <c r="O62" s="62"/>
      <c r="P62" s="62"/>
      <c r="Q62" s="68"/>
    </row>
    <row r="63" spans="1:17" x14ac:dyDescent="0.25">
      <c r="D63" s="121"/>
      <c r="E63" s="59"/>
      <c r="F63" s="59"/>
      <c r="G63" s="66"/>
      <c r="I63" s="121"/>
      <c r="J63" s="59"/>
      <c r="K63" s="59"/>
      <c r="L63" s="66"/>
      <c r="M63"/>
      <c r="N63" s="121"/>
      <c r="O63" s="59"/>
      <c r="P63" s="59"/>
      <c r="Q63" s="66"/>
    </row>
    <row r="64" spans="1:17" x14ac:dyDescent="0.25">
      <c r="D64" s="121"/>
      <c r="E64" s="59"/>
      <c r="F64" s="59"/>
      <c r="G64" s="66"/>
      <c r="I64" s="121"/>
      <c r="J64" s="59"/>
      <c r="K64" s="59"/>
      <c r="L64" s="66"/>
      <c r="M64"/>
      <c r="N64" s="121"/>
      <c r="O64" s="59"/>
      <c r="P64" s="59"/>
      <c r="Q64" s="66"/>
    </row>
    <row r="65" spans="1:17" x14ac:dyDescent="0.25">
      <c r="A65" s="2" t="s">
        <v>23</v>
      </c>
      <c r="D65" s="121"/>
      <c r="E65" s="59"/>
      <c r="F65" s="59"/>
      <c r="G65" s="66"/>
      <c r="H65" s="2" t="s">
        <v>23</v>
      </c>
      <c r="I65" s="121"/>
      <c r="J65" s="59"/>
      <c r="K65" s="59"/>
      <c r="L65" s="66"/>
      <c r="M65" s="2" t="s">
        <v>23</v>
      </c>
      <c r="N65" s="121"/>
      <c r="O65" s="59"/>
      <c r="P65" s="59"/>
      <c r="Q65" s="66"/>
    </row>
    <row r="66" spans="1:17" ht="15.75" thickBot="1" x14ac:dyDescent="0.3">
      <c r="A66" s="1" t="s">
        <v>117</v>
      </c>
      <c r="D66" s="123" t="e">
        <f>D41-D15+D42-D23-D24</f>
        <v>#DIV/0!</v>
      </c>
      <c r="E66" s="59"/>
      <c r="F66" s="59"/>
      <c r="G66" s="66"/>
      <c r="H66" s="1" t="s">
        <v>117</v>
      </c>
      <c r="I66" s="123" t="e">
        <f>I41-I15+I42-I23-I26</f>
        <v>#DIV/0!</v>
      </c>
      <c r="J66" s="59"/>
      <c r="K66" s="59"/>
      <c r="L66" s="66"/>
      <c r="M66" s="1" t="s">
        <v>117</v>
      </c>
      <c r="N66" s="123" t="e">
        <f>N41-N15+N42-N23-N26</f>
        <v>#DIV/0!</v>
      </c>
      <c r="O66" s="59"/>
      <c r="P66" s="59"/>
      <c r="Q66" s="66"/>
    </row>
    <row r="67" spans="1:17" ht="15.75" thickTop="1" x14ac:dyDescent="0.25">
      <c r="A67" s="1"/>
      <c r="C67" s="131">
        <v>1.4500000000000001E-2</v>
      </c>
      <c r="D67" s="127" t="e">
        <f>D66*C67</f>
        <v>#DIV/0!</v>
      </c>
      <c r="E67" s="62"/>
      <c r="F67" s="62"/>
      <c r="G67" s="68"/>
      <c r="H67" s="1"/>
      <c r="I67" s="127" t="e">
        <f>I66*C67</f>
        <v>#DIV/0!</v>
      </c>
      <c r="J67" s="62"/>
      <c r="K67" s="62"/>
      <c r="L67" s="68"/>
      <c r="M67" s="1"/>
      <c r="N67" s="127" t="e">
        <f>N66*C67</f>
        <v>#DIV/0!</v>
      </c>
      <c r="O67" s="62"/>
      <c r="P67" s="62"/>
      <c r="Q67" s="68"/>
    </row>
    <row r="68" spans="1:17" x14ac:dyDescent="0.25">
      <c r="A68" s="1"/>
      <c r="D68" s="124"/>
      <c r="E68" s="62"/>
      <c r="F68" s="62"/>
      <c r="G68" s="68"/>
      <c r="H68" s="1"/>
      <c r="I68" s="124"/>
      <c r="J68" s="62"/>
      <c r="K68" s="62"/>
      <c r="L68" s="68"/>
      <c r="M68" s="1"/>
      <c r="N68" s="124"/>
      <c r="O68" s="62"/>
      <c r="P68" s="62"/>
      <c r="Q68" s="68"/>
    </row>
    <row r="69" spans="1:17" x14ac:dyDescent="0.25">
      <c r="A69" s="2"/>
      <c r="D69" s="124"/>
      <c r="E69" s="62"/>
      <c r="F69" s="62"/>
      <c r="G69" s="68"/>
      <c r="H69" s="2"/>
      <c r="I69" s="124"/>
      <c r="J69" s="62"/>
      <c r="K69" s="62"/>
      <c r="L69" s="68"/>
      <c r="M69" s="2"/>
      <c r="N69" s="124"/>
      <c r="O69" s="62"/>
      <c r="P69" s="62"/>
      <c r="Q69" s="68"/>
    </row>
    <row r="70" spans="1:17" ht="15.75" thickBot="1" x14ac:dyDescent="0.3">
      <c r="D70" s="123"/>
      <c r="E70" s="59"/>
      <c r="F70" s="59"/>
      <c r="G70" s="66"/>
      <c r="I70" s="123"/>
      <c r="J70" s="59"/>
      <c r="K70" s="59"/>
      <c r="L70" s="66"/>
      <c r="M70"/>
      <c r="N70" s="123"/>
      <c r="O70" s="59"/>
      <c r="P70" s="59"/>
      <c r="Q70" s="66"/>
    </row>
    <row r="71" spans="1:17" ht="15.75" thickTop="1" x14ac:dyDescent="0.25">
      <c r="A71" s="1" t="s">
        <v>27</v>
      </c>
      <c r="D71" s="128" t="e">
        <f>D11+D27-D53-D62-D67+D37</f>
        <v>#DIV/0!</v>
      </c>
      <c r="E71" s="62"/>
      <c r="F71" s="62"/>
      <c r="G71" s="68"/>
      <c r="H71" s="1" t="s">
        <v>27</v>
      </c>
      <c r="I71" s="128" t="e">
        <f>I11+I27-I53-I62-I67+I37</f>
        <v>#DIV/0!</v>
      </c>
      <c r="J71" s="62"/>
      <c r="K71" s="62"/>
      <c r="L71" s="68"/>
      <c r="M71" s="1" t="s">
        <v>27</v>
      </c>
      <c r="N71" s="128" t="e">
        <f>N11+N27-N53-N62-N67+N37</f>
        <v>#DIV/0!</v>
      </c>
      <c r="O71" s="62"/>
      <c r="P71" s="62"/>
      <c r="Q71" s="68"/>
    </row>
  </sheetData>
  <sheetProtection algorithmName="SHA-512" hashValue="g/vOThM6jAL88ZCG3yjdVKnZTyCoNhLeYSX2tKqNdJUUsBGhNKtjgclRcFMJGiyoArUul7YuvH7xklW1MP6PjA==" saltValue="54rLukaCDUneI3j1+Xiumg==" spinCount="100000" sheet="1" objects="1" scenarios="1"/>
  <mergeCells count="3">
    <mergeCell ref="E2:F2"/>
    <mergeCell ref="J2:K2"/>
    <mergeCell ref="O2:P2"/>
  </mergeCells>
  <conditionalFormatting sqref="C45">
    <cfRule type="expression" dxfId="5" priority="6">
      <formula>$C$45</formula>
    </cfRule>
  </conditionalFormatting>
  <conditionalFormatting sqref="C54">
    <cfRule type="containsText" dxfId="4" priority="3" operator="containsText" text="FALSE">
      <formula>NOT(ISERROR(SEARCH("FALSE",C54)))</formula>
    </cfRule>
  </conditionalFormatting>
  <pageMargins left="0.7" right="0.7" top="0.75" bottom="0.75" header="0.3" footer="0.3"/>
  <pageSetup scale="91" fitToHeight="2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4AA3266B-6E76-499E-A3C4-5947B1CFC53B}">
            <xm:f>IF(C44='Filing Status'!J3," ")</xm:f>
            <x14:dxf>
              <fill>
                <patternFill>
                  <bgColor theme="1"/>
                </patternFill>
              </fill>
            </x14:dxf>
          </x14:cfRule>
          <x14:cfRule type="expression" priority="2" id="{6B6A7754-A812-4C42-86F5-BFD3DB9ECD3B}">
            <xm:f>IF(C44='Filing Status'!J3," ")</xm:f>
            <x14:dxf>
              <fill>
                <patternFill>
                  <bgColor theme="1"/>
                </patternFill>
              </fill>
            </x14:dxf>
          </x14:cfRule>
          <x14:cfRule type="expression" priority="4" id="{61A4B27B-DD61-42F1-9402-3AB4A8C4DC1A}">
            <xm:f>IF($C$44='Filing Status'!$E$3,$C$45=" ")</xm:f>
            <x14:dxf>
              <fill>
                <patternFill>
                  <bgColor theme="1"/>
                </patternFill>
              </fill>
            </x14:dxf>
          </x14:cfRule>
          <x14:cfRule type="expression" priority="5" id="{5500DC36-40F2-476B-98F9-BAD5D7969A40}">
            <xm:f>IF($C$44='Filing Status'!$E$2,$C$45=" ")</xm:f>
            <x14:dxf>
              <fill>
                <patternFill>
                  <bgColor theme="1"/>
                </patternFill>
              </fill>
            </x14:dxf>
          </x14:cfRule>
          <xm:sqref>C45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'Filing Status'!$A$2:$A$5</xm:f>
          </x14:formula1>
          <xm:sqref>C43</xm:sqref>
        </x14:dataValidation>
        <x14:dataValidation type="list" allowBlank="1" showInputMessage="1" showErrorMessage="1" xr:uid="{00000000-0002-0000-0000-000001000000}">
          <x14:formula1>
            <xm:f>'Filing Status'!$A$2:$A$3</xm:f>
          </x14:formula1>
          <xm:sqref>C57</xm:sqref>
        </x14:dataValidation>
        <x14:dataValidation type="list" allowBlank="1" showInputMessage="1" showErrorMessage="1" xr:uid="{00000000-0002-0000-0000-000002000000}">
          <x14:formula1>
            <xm:f>'Filing Status'!$C$2:$C$4</xm:f>
          </x14:formula1>
          <xm:sqref>C58</xm:sqref>
        </x14:dataValidation>
        <x14:dataValidation type="list" allowBlank="1" showInputMessage="1" showErrorMessage="1" xr:uid="{00000000-0002-0000-0000-000003000000}">
          <x14:formula1>
            <xm:f>'Filing Status'!$E$2:$E$3</xm:f>
          </x14:formula1>
          <xm:sqref>C44:C45</xm:sqref>
        </x14:dataValidation>
        <x14:dataValidation type="list" allowBlank="1" showInputMessage="1" showErrorMessage="1" xr:uid="{00000000-0002-0000-0000-000004000000}">
          <x14:formula1>
            <xm:f>'Filing Status'!$H$2:$H$10</xm:f>
          </x14:formula1>
          <xm:sqref>B15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I19"/>
  <sheetViews>
    <sheetView workbookViewId="0">
      <selection activeCell="H4" sqref="H4"/>
    </sheetView>
  </sheetViews>
  <sheetFormatPr defaultColWidth="8.85546875" defaultRowHeight="15" x14ac:dyDescent="0.25"/>
  <cols>
    <col min="1" max="1" width="44.28515625" bestFit="1" customWidth="1"/>
    <col min="2" max="2" width="21" bestFit="1" customWidth="1"/>
    <col min="3" max="3" width="13.42578125" customWidth="1"/>
    <col min="5" max="5" width="14" customWidth="1"/>
    <col min="8" max="8" width="10" bestFit="1" customWidth="1"/>
  </cols>
  <sheetData>
    <row r="1" spans="1:9" x14ac:dyDescent="0.25">
      <c r="A1" t="s">
        <v>3</v>
      </c>
      <c r="C1" t="s">
        <v>28</v>
      </c>
      <c r="E1" t="s">
        <v>78</v>
      </c>
      <c r="H1" t="s">
        <v>138</v>
      </c>
    </row>
    <row r="2" spans="1:9" x14ac:dyDescent="0.25">
      <c r="A2" t="s">
        <v>1</v>
      </c>
      <c r="C2">
        <v>0</v>
      </c>
      <c r="E2" t="s">
        <v>43</v>
      </c>
      <c r="H2" t="s">
        <v>139</v>
      </c>
      <c r="I2" s="7">
        <v>0.08</v>
      </c>
    </row>
    <row r="3" spans="1:9" x14ac:dyDescent="0.25">
      <c r="A3" t="s">
        <v>2</v>
      </c>
      <c r="C3">
        <v>1</v>
      </c>
      <c r="E3" t="s">
        <v>92</v>
      </c>
      <c r="H3" t="s">
        <v>140</v>
      </c>
      <c r="I3" s="7">
        <v>0.08</v>
      </c>
    </row>
    <row r="4" spans="1:9" x14ac:dyDescent="0.25">
      <c r="A4" t="s">
        <v>29</v>
      </c>
      <c r="C4">
        <v>2</v>
      </c>
      <c r="H4" t="s">
        <v>141</v>
      </c>
      <c r="I4" s="7">
        <v>0.08</v>
      </c>
    </row>
    <row r="5" spans="1:9" x14ac:dyDescent="0.25">
      <c r="A5" t="s">
        <v>30</v>
      </c>
      <c r="H5" t="s">
        <v>149</v>
      </c>
      <c r="I5" s="7">
        <v>7.4999999999999997E-2</v>
      </c>
    </row>
    <row r="6" spans="1:9" x14ac:dyDescent="0.25">
      <c r="H6" t="s">
        <v>150</v>
      </c>
      <c r="I6" s="7">
        <v>9.5000000000000001E-2</v>
      </c>
    </row>
    <row r="7" spans="1:9" x14ac:dyDescent="0.25">
      <c r="H7" t="s">
        <v>151</v>
      </c>
      <c r="I7" s="7">
        <v>7.4999999999999997E-2</v>
      </c>
    </row>
    <row r="8" spans="1:9" x14ac:dyDescent="0.25">
      <c r="H8" t="s">
        <v>152</v>
      </c>
      <c r="I8" s="7">
        <v>0.08</v>
      </c>
    </row>
    <row r="9" spans="1:9" x14ac:dyDescent="0.25">
      <c r="H9" t="s">
        <v>153</v>
      </c>
      <c r="I9" s="7">
        <v>0.08</v>
      </c>
    </row>
    <row r="10" spans="1:9" x14ac:dyDescent="0.25">
      <c r="H10" t="s">
        <v>154</v>
      </c>
      <c r="I10" s="7">
        <v>0.08</v>
      </c>
    </row>
    <row r="11" spans="1:9" x14ac:dyDescent="0.25">
      <c r="I11" s="7"/>
    </row>
    <row r="12" spans="1:9" x14ac:dyDescent="0.25">
      <c r="I12" s="7"/>
    </row>
    <row r="13" spans="1:9" x14ac:dyDescent="0.25">
      <c r="I13" s="7"/>
    </row>
    <row r="14" spans="1:9" x14ac:dyDescent="0.25">
      <c r="I14" s="7"/>
    </row>
    <row r="15" spans="1:9" x14ac:dyDescent="0.25">
      <c r="I15" s="7"/>
    </row>
    <row r="16" spans="1:9" x14ac:dyDescent="0.25">
      <c r="I16" s="7"/>
    </row>
    <row r="17" spans="9:9" x14ac:dyDescent="0.25">
      <c r="I17" s="7"/>
    </row>
    <row r="18" spans="9:9" x14ac:dyDescent="0.25">
      <c r="I18" s="7"/>
    </row>
    <row r="19" spans="9:9" x14ac:dyDescent="0.25">
      <c r="I19" s="7"/>
    </row>
  </sheetData>
  <sheetProtection algorithmName="SHA-512" hashValue="V0+JidEPHiK+tm7YY9fjNNWAtMh/IVaznpJ/3KvaXTRg4QuTUsNt2K+Z3excFyayAcdMwF6rSPkJMK+yPJn2CQ==" saltValue="5WDp119cSxR6v+6lxPqdbQ==" spinCount="100000" sheet="1" objects="1" scenarios="1"/>
  <pageMargins left="0.7" right="0.7" top="0.75" bottom="0.75" header="0.3" footer="0.3"/>
  <tableParts count="3">
    <tablePart r:id="rId1"/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L29"/>
  <sheetViews>
    <sheetView workbookViewId="0">
      <selection activeCell="J18" sqref="J18"/>
    </sheetView>
  </sheetViews>
  <sheetFormatPr defaultColWidth="8.85546875" defaultRowHeight="15" x14ac:dyDescent="0.25"/>
  <cols>
    <col min="1" max="1" width="35.85546875" customWidth="1"/>
    <col min="2" max="2" width="21.42578125" customWidth="1"/>
    <col min="3" max="3" width="11.85546875" bestFit="1" customWidth="1"/>
    <col min="4" max="4" width="15.7109375" customWidth="1"/>
    <col min="5" max="5" width="12.85546875" customWidth="1"/>
    <col min="6" max="6" width="9.42578125" bestFit="1" customWidth="1"/>
    <col min="7" max="7" width="11.42578125" bestFit="1" customWidth="1"/>
    <col min="8" max="8" width="35.7109375" customWidth="1"/>
    <col min="9" max="9" width="19.7109375" bestFit="1" customWidth="1"/>
    <col min="10" max="10" width="14.42578125" customWidth="1"/>
    <col min="11" max="11" width="14.7109375" customWidth="1"/>
    <col min="12" max="12" width="19.7109375" customWidth="1"/>
  </cols>
  <sheetData>
    <row r="1" spans="1:12" x14ac:dyDescent="0.25">
      <c r="A1" s="9" t="s">
        <v>163</v>
      </c>
      <c r="C1" s="5" t="s">
        <v>32</v>
      </c>
      <c r="D1" s="5"/>
      <c r="E1" s="5"/>
      <c r="I1" s="4"/>
    </row>
    <row r="2" spans="1:12" x14ac:dyDescent="0.25">
      <c r="A2" s="8" t="s">
        <v>131</v>
      </c>
      <c r="I2" s="4"/>
    </row>
    <row r="3" spans="1:12" x14ac:dyDescent="0.25">
      <c r="A3" s="1" t="s">
        <v>17</v>
      </c>
      <c r="B3" s="5">
        <f>4500</f>
        <v>4500</v>
      </c>
      <c r="I3" s="4"/>
    </row>
    <row r="4" spans="1:12" x14ac:dyDescent="0.25">
      <c r="A4" s="1" t="s">
        <v>18</v>
      </c>
      <c r="B4" s="5">
        <f>1000</f>
        <v>1000</v>
      </c>
      <c r="H4" s="1" t="s">
        <v>17</v>
      </c>
      <c r="I4" s="5">
        <v>9000</v>
      </c>
      <c r="J4">
        <f>I4/12</f>
        <v>750</v>
      </c>
    </row>
    <row r="5" spans="1:12" x14ac:dyDescent="0.25">
      <c r="A5" s="1" t="s">
        <v>19</v>
      </c>
      <c r="B5" s="10">
        <f>12500</f>
        <v>12500</v>
      </c>
      <c r="H5" s="1" t="s">
        <v>18</v>
      </c>
      <c r="I5" s="5">
        <f>1000</f>
        <v>1000</v>
      </c>
    </row>
    <row r="6" spans="1:12" x14ac:dyDescent="0.25">
      <c r="A6" s="1" t="s">
        <v>20</v>
      </c>
      <c r="B6" s="104">
        <v>1.8499999999999999E-2</v>
      </c>
      <c r="C6" s="10">
        <v>12500</v>
      </c>
      <c r="H6" s="1" t="s">
        <v>20</v>
      </c>
      <c r="I6" s="104">
        <v>1.8499999999999999E-2</v>
      </c>
      <c r="J6">
        <v>25500</v>
      </c>
    </row>
    <row r="7" spans="1:12" x14ac:dyDescent="0.25">
      <c r="A7" s="1" t="s">
        <v>21</v>
      </c>
      <c r="B7" s="104">
        <v>3.5000000000000003E-2</v>
      </c>
      <c r="C7" s="10">
        <v>37500</v>
      </c>
      <c r="D7" s="4"/>
      <c r="H7" s="1" t="s">
        <v>21</v>
      </c>
      <c r="I7" s="104">
        <v>3.5000000000000003E-2</v>
      </c>
      <c r="J7" s="4">
        <v>75000</v>
      </c>
      <c r="K7" s="4"/>
    </row>
    <row r="8" spans="1:12" x14ac:dyDescent="0.25">
      <c r="A8" s="1" t="s">
        <v>22</v>
      </c>
      <c r="B8" s="104">
        <v>4.2500000000000003E-2</v>
      </c>
      <c r="C8" s="10">
        <v>50000</v>
      </c>
      <c r="D8" s="4"/>
      <c r="H8" s="1" t="s">
        <v>22</v>
      </c>
      <c r="I8" s="104">
        <v>4.2500000000000003E-2</v>
      </c>
      <c r="J8">
        <v>100000</v>
      </c>
    </row>
    <row r="9" spans="1:12" x14ac:dyDescent="0.25">
      <c r="B9" s="2" t="s">
        <v>1</v>
      </c>
      <c r="I9" s="2"/>
    </row>
    <row r="10" spans="1:12" x14ac:dyDescent="0.25">
      <c r="B10" t="s">
        <v>178</v>
      </c>
      <c r="C10" s="90" t="e">
        <f>C28</f>
        <v>#DIV/0!</v>
      </c>
      <c r="D10" s="90" t="e">
        <f t="shared" ref="D10:E10" si="0">D28</f>
        <v>#DIV/0!</v>
      </c>
      <c r="E10" s="90" t="e">
        <f t="shared" si="0"/>
        <v>#DIV/0!</v>
      </c>
      <c r="I10" t="s">
        <v>178</v>
      </c>
      <c r="J10" s="95">
        <f>J28</f>
        <v>-48.9375</v>
      </c>
      <c r="K10" s="95">
        <f t="shared" ref="K10:L10" si="1">K28</f>
        <v>-48.9375</v>
      </c>
      <c r="L10" s="95">
        <f t="shared" si="1"/>
        <v>-48.9375</v>
      </c>
    </row>
    <row r="11" spans="1:12" x14ac:dyDescent="0.25">
      <c r="A11" s="106" t="s">
        <v>99</v>
      </c>
      <c r="B11" t="s">
        <v>165</v>
      </c>
      <c r="C11" s="93" t="e">
        <f>IF(('Pay Check Comparision'!$C$57='Filing Status'!$A$2),'Pay Check Comparision'!D61,"0")</f>
        <v>#DIV/0!</v>
      </c>
      <c r="D11" s="91" t="e">
        <f>IF(('Pay Check Comparision'!$C$57='Filing Status'!$A$2),'Pay Check Comparision'!I61,"0")</f>
        <v>#DIV/0!</v>
      </c>
      <c r="E11" s="92" t="e">
        <f>IF(('Pay Check Comparision'!$C$57='Filing Status'!$A$2),'Pay Check Comparision'!N61,"0")</f>
        <v>#DIV/0!</v>
      </c>
      <c r="H11" s="106" t="s">
        <v>99</v>
      </c>
      <c r="I11" t="s">
        <v>165</v>
      </c>
      <c r="J11" s="96" t="str">
        <f>IF(('Pay Check Comparision'!$C$57='Filing Status'!$A$3),'Pay Check Comparision'!D61,"0")</f>
        <v>0</v>
      </c>
      <c r="K11" s="97" t="str">
        <f>IF(('Pay Check Comparision'!$C$57='Filing Status'!$A$3),'Pay Check Comparision'!I61,"0")</f>
        <v>0</v>
      </c>
      <c r="L11" s="98" t="str">
        <f>IF(('Pay Check Comparision'!$C$57='Filing Status'!$A$3),'Pay Check Comparision'!N61,"0")</f>
        <v>0</v>
      </c>
    </row>
    <row r="12" spans="1:12" x14ac:dyDescent="0.25">
      <c r="A12" s="106" t="s">
        <v>16</v>
      </c>
      <c r="B12" t="s">
        <v>172</v>
      </c>
      <c r="C12" s="107" t="e">
        <f>IF((C11&gt;C13),C13,C11)</f>
        <v>#DIV/0!</v>
      </c>
      <c r="D12" s="107" t="e">
        <f t="shared" ref="D12:E12" si="2">IF((D11&gt;D13),D13,D11)</f>
        <v>#DIV/0!</v>
      </c>
      <c r="E12" s="107" t="e">
        <f t="shared" si="2"/>
        <v>#DIV/0!</v>
      </c>
      <c r="H12" s="106" t="s">
        <v>16</v>
      </c>
      <c r="I12" t="s">
        <v>172</v>
      </c>
      <c r="J12" s="108">
        <f>IF((J11&gt;J13),J13,J11)</f>
        <v>2125</v>
      </c>
      <c r="K12" s="108">
        <f t="shared" ref="K12:L12" si="3">IF((K11&gt;K13),K13,K11)</f>
        <v>2125</v>
      </c>
      <c r="L12" s="108">
        <f t="shared" si="3"/>
        <v>2125</v>
      </c>
    </row>
    <row r="13" spans="1:12" x14ac:dyDescent="0.25">
      <c r="A13" s="106"/>
      <c r="C13" s="107">
        <f>$C$6/12</f>
        <v>1041.6666666666667</v>
      </c>
      <c r="D13" s="107">
        <f t="shared" ref="D13:E13" si="4">$C$6/12</f>
        <v>1041.6666666666667</v>
      </c>
      <c r="E13" s="107">
        <f t="shared" si="4"/>
        <v>1041.6666666666667</v>
      </c>
      <c r="J13" s="108">
        <f>$J$6/12</f>
        <v>2125</v>
      </c>
      <c r="K13" s="108">
        <f t="shared" ref="K13:L13" si="5">$J$6/12</f>
        <v>2125</v>
      </c>
      <c r="L13" s="108">
        <f t="shared" si="5"/>
        <v>2125</v>
      </c>
    </row>
    <row r="14" spans="1:12" x14ac:dyDescent="0.25">
      <c r="B14" t="s">
        <v>166</v>
      </c>
      <c r="C14" s="90">
        <f>IF(('Pay Check Comparision'!C57='Filing Status'!A2),'Pay Check Comparision'!C58,"0")</f>
        <v>0</v>
      </c>
      <c r="D14" s="90">
        <f>IF(('Pay Check Comparision'!C57='Filing Status'!A2),'Pay Check Comparision'!C58,"0")</f>
        <v>0</v>
      </c>
      <c r="E14" s="90">
        <f>IF(('Pay Check Comparision'!C57='Filing Status'!A2),'Pay Check Comparision'!C58,"0")</f>
        <v>0</v>
      </c>
      <c r="I14" t="s">
        <v>166</v>
      </c>
      <c r="J14" s="95" t="str">
        <f>IF(('Pay Check Comparision'!$C$57='Filing Status'!$A$3),'Pay Check Comparision'!$C$58,"0")</f>
        <v>0</v>
      </c>
      <c r="K14" s="95" t="str">
        <f>IF(('Pay Check Comparision'!$C$57='Filing Status'!$A$3),'Pay Check Comparision'!$C$58,"0")</f>
        <v>0</v>
      </c>
      <c r="L14" s="95" t="str">
        <f>IF(('Pay Check Comparision'!$C$57='Filing Status'!$A$3),'Pay Check Comparision'!$C$58,"0")</f>
        <v>0</v>
      </c>
    </row>
    <row r="15" spans="1:12" ht="15.75" x14ac:dyDescent="0.25">
      <c r="B15" t="s">
        <v>167</v>
      </c>
      <c r="C15" s="90">
        <f>IF(('Pay Check Comparision'!C57='Filing Status'!A2),'Pay Check Comparision'!C59,"0")</f>
        <v>0</v>
      </c>
      <c r="D15" s="94">
        <f>IF(('Pay Check Comparision'!C57='Filing Status'!A2),'Pay Check Comparision'!C59,"0")</f>
        <v>0</v>
      </c>
      <c r="E15" s="90">
        <f>IF(('Pay Check Comparision'!C57='Filing Status'!A2),'Pay Check Comparision'!C59,"0")</f>
        <v>0</v>
      </c>
      <c r="I15" t="s">
        <v>167</v>
      </c>
      <c r="J15" s="95" t="str">
        <f>IF(('Pay Check Comparision'!$C$57='Filing Status'!$A$3),'Pay Check Comparision'!$C$59,"0")</f>
        <v>0</v>
      </c>
      <c r="K15" s="95" t="str">
        <f>IF(('Pay Check Comparision'!$C$57='Filing Status'!$A$3),'Pay Check Comparision'!$C$59,"0")</f>
        <v>0</v>
      </c>
      <c r="L15" s="95" t="str">
        <f>IF(('Pay Check Comparision'!$C$57='Filing Status'!$A$3),'Pay Check Comparision'!$C$59,"0")</f>
        <v>0</v>
      </c>
    </row>
    <row r="16" spans="1:12" x14ac:dyDescent="0.25">
      <c r="B16" t="s">
        <v>168</v>
      </c>
      <c r="C16" s="90">
        <v>12</v>
      </c>
      <c r="D16" s="90">
        <v>12</v>
      </c>
      <c r="E16" s="90">
        <v>12</v>
      </c>
      <c r="I16" t="s">
        <v>168</v>
      </c>
      <c r="J16" s="95">
        <v>12</v>
      </c>
      <c r="K16" s="95">
        <v>12</v>
      </c>
      <c r="L16" s="95">
        <v>12</v>
      </c>
    </row>
    <row r="17" spans="1:12" x14ac:dyDescent="0.25">
      <c r="A17" s="105" t="s">
        <v>159</v>
      </c>
      <c r="B17" t="s">
        <v>169</v>
      </c>
      <c r="C17" s="90">
        <f>(B3/C16)*C14</f>
        <v>0</v>
      </c>
      <c r="D17" s="90">
        <f>C17</f>
        <v>0</v>
      </c>
      <c r="E17" s="90">
        <f>C17</f>
        <v>0</v>
      </c>
      <c r="H17" s="105" t="s">
        <v>159</v>
      </c>
      <c r="I17" t="s">
        <v>169</v>
      </c>
      <c r="J17" s="95">
        <f>J4</f>
        <v>750</v>
      </c>
      <c r="K17" s="95">
        <f>J4</f>
        <v>750</v>
      </c>
      <c r="L17" s="95">
        <f>J4</f>
        <v>750</v>
      </c>
    </row>
    <row r="18" spans="1:12" x14ac:dyDescent="0.25">
      <c r="A18" s="105" t="s">
        <v>160</v>
      </c>
      <c r="B18" t="s">
        <v>170</v>
      </c>
      <c r="C18" s="90">
        <f>(B4/12)*C15</f>
        <v>0</v>
      </c>
      <c r="D18" s="90">
        <f>C18</f>
        <v>0</v>
      </c>
      <c r="E18" s="90">
        <f>C18</f>
        <v>0</v>
      </c>
      <c r="H18" s="105" t="s">
        <v>160</v>
      </c>
      <c r="I18" t="s">
        <v>170</v>
      </c>
      <c r="J18" s="95">
        <f>($I$5/J16)*J15</f>
        <v>0</v>
      </c>
      <c r="K18" s="95">
        <f t="shared" ref="K18:L18" si="6">($I$5/K16)*K15</f>
        <v>0</v>
      </c>
      <c r="L18" s="95">
        <f t="shared" si="6"/>
        <v>0</v>
      </c>
    </row>
    <row r="19" spans="1:12" x14ac:dyDescent="0.25">
      <c r="A19" s="105" t="s">
        <v>161</v>
      </c>
      <c r="B19" t="s">
        <v>171</v>
      </c>
      <c r="C19" s="90">
        <f>SUM(C17:C18)</f>
        <v>0</v>
      </c>
      <c r="D19" s="90">
        <f t="shared" ref="D19:E19" si="7">SUM(D17:D18)</f>
        <v>0</v>
      </c>
      <c r="E19" s="90">
        <f t="shared" si="7"/>
        <v>0</v>
      </c>
      <c r="H19" s="105" t="s">
        <v>161</v>
      </c>
      <c r="I19" t="s">
        <v>171</v>
      </c>
      <c r="J19" s="95">
        <f>J17+J18</f>
        <v>750</v>
      </c>
      <c r="K19" s="95">
        <f t="shared" ref="K19:L19" si="8">K17+K18</f>
        <v>750</v>
      </c>
      <c r="L19" s="95">
        <f t="shared" si="8"/>
        <v>750</v>
      </c>
    </row>
    <row r="20" spans="1:12" x14ac:dyDescent="0.25">
      <c r="A20" s="105"/>
      <c r="B20" t="s">
        <v>173</v>
      </c>
      <c r="C20" s="90" t="e">
        <f>(C12-C19)</f>
        <v>#DIV/0!</v>
      </c>
      <c r="D20" s="90" t="e">
        <f>(D12-D19)</f>
        <v>#DIV/0!</v>
      </c>
      <c r="E20" s="90" t="e">
        <f>(E12-E19)</f>
        <v>#DIV/0!</v>
      </c>
      <c r="H20" s="105"/>
      <c r="I20" t="s">
        <v>173</v>
      </c>
      <c r="J20" s="109">
        <f>(J12-J19)</f>
        <v>1375</v>
      </c>
      <c r="K20" s="109">
        <f t="shared" ref="K20:L20" si="9">(K12-K19)</f>
        <v>1375</v>
      </c>
      <c r="L20" s="109">
        <f t="shared" si="9"/>
        <v>1375</v>
      </c>
    </row>
    <row r="21" spans="1:12" x14ac:dyDescent="0.25">
      <c r="A21" s="105" t="s">
        <v>91</v>
      </c>
      <c r="B21" t="s">
        <v>174</v>
      </c>
      <c r="C21" s="90" t="e">
        <f>IF((C20&gt;0),(C20*$B$6),0)</f>
        <v>#DIV/0!</v>
      </c>
      <c r="D21" s="90" t="e">
        <f t="shared" ref="D21:E21" si="10">IF((D20&gt;0),(D20*$B$6),0)</f>
        <v>#DIV/0!</v>
      </c>
      <c r="E21" s="90" t="e">
        <f t="shared" si="10"/>
        <v>#DIV/0!</v>
      </c>
      <c r="H21" s="105" t="s">
        <v>91</v>
      </c>
      <c r="I21" t="s">
        <v>174</v>
      </c>
      <c r="J21" s="95">
        <f>IF((J20&gt;0),(J20*$I$6),0)</f>
        <v>25.4375</v>
      </c>
      <c r="K21" s="95">
        <f t="shared" ref="K21:L21" si="11">IF((K20&gt;0),(K20*$I$6),0)</f>
        <v>25.4375</v>
      </c>
      <c r="L21" s="95">
        <f t="shared" si="11"/>
        <v>25.4375</v>
      </c>
    </row>
    <row r="22" spans="1:12" x14ac:dyDescent="0.25">
      <c r="A22" s="105"/>
      <c r="B22" t="s">
        <v>176</v>
      </c>
      <c r="C22" s="90" t="e">
        <f>C11-C12</f>
        <v>#DIV/0!</v>
      </c>
      <c r="D22" s="90" t="e">
        <f t="shared" ref="D22:E22" si="12">D11-D12</f>
        <v>#DIV/0!</v>
      </c>
      <c r="E22" s="90" t="e">
        <f t="shared" si="12"/>
        <v>#DIV/0!</v>
      </c>
      <c r="H22" s="105"/>
      <c r="I22" t="s">
        <v>176</v>
      </c>
      <c r="J22" s="109">
        <f>J11-J12</f>
        <v>-2125</v>
      </c>
      <c r="K22" s="109">
        <f t="shared" ref="K22:L22" si="13">K11-K12</f>
        <v>-2125</v>
      </c>
      <c r="L22" s="109">
        <f t="shared" si="13"/>
        <v>-2125</v>
      </c>
    </row>
    <row r="23" spans="1:12" x14ac:dyDescent="0.25">
      <c r="A23" s="105"/>
      <c r="C23" s="90">
        <f>$C$7/C16</f>
        <v>3125</v>
      </c>
      <c r="D23" s="90">
        <f t="shared" ref="D23:E23" si="14">$C$7/D16</f>
        <v>3125</v>
      </c>
      <c r="E23" s="90">
        <f t="shared" si="14"/>
        <v>3125</v>
      </c>
      <c r="H23" s="105"/>
      <c r="J23" s="95">
        <f>$J$7/12</f>
        <v>6250</v>
      </c>
      <c r="K23" s="95">
        <f t="shared" ref="K23:L23" si="15">$J$7/12</f>
        <v>6250</v>
      </c>
      <c r="L23" s="95">
        <f t="shared" si="15"/>
        <v>6250</v>
      </c>
    </row>
    <row r="24" spans="1:12" x14ac:dyDescent="0.25">
      <c r="A24" s="105" t="s">
        <v>101</v>
      </c>
      <c r="B24" t="s">
        <v>174</v>
      </c>
      <c r="C24" s="90" t="e">
        <f>IF((C22&lt;C23),(C22*$B$7),(C23*$B$7))</f>
        <v>#DIV/0!</v>
      </c>
      <c r="D24" s="90" t="e">
        <f t="shared" ref="D24:E24" si="16">IF((D22&lt;D23),(D22*$B$7),(D23*$B$7))</f>
        <v>#DIV/0!</v>
      </c>
      <c r="E24" s="90" t="e">
        <f t="shared" si="16"/>
        <v>#DIV/0!</v>
      </c>
      <c r="H24" s="105" t="s">
        <v>101</v>
      </c>
      <c r="I24" t="s">
        <v>174</v>
      </c>
      <c r="J24" s="95">
        <f>IF((J22&lt;J23),(J22*$I$7),(J23*$I$7))</f>
        <v>-74.375</v>
      </c>
      <c r="K24" s="95">
        <f t="shared" ref="K24:L24" si="17">IF((K22&lt;K23),(K22*$I$7),(K23*$I$7))</f>
        <v>-74.375</v>
      </c>
      <c r="L24" s="95">
        <f t="shared" si="17"/>
        <v>-74.375</v>
      </c>
    </row>
    <row r="25" spans="1:12" x14ac:dyDescent="0.25">
      <c r="A25" s="105"/>
      <c r="B25" t="s">
        <v>177</v>
      </c>
      <c r="C25" s="90" t="e">
        <f>IF((C11-C26&gt;0),(C11-C26),0)</f>
        <v>#DIV/0!</v>
      </c>
      <c r="D25" s="90" t="e">
        <f t="shared" ref="D25:E25" si="18">IF((D11-D26&gt;0),(D11-D26),0)</f>
        <v>#DIV/0!</v>
      </c>
      <c r="E25" s="90" t="e">
        <f t="shared" si="18"/>
        <v>#DIV/0!</v>
      </c>
      <c r="H25" s="105"/>
      <c r="I25" t="s">
        <v>177</v>
      </c>
      <c r="J25" s="95">
        <f>IF((J11-J26&gt;0),(J11-J26),0)</f>
        <v>0</v>
      </c>
      <c r="K25" s="95">
        <f t="shared" ref="K25:L25" si="19">IF((K11-K26&gt;0),(K11-K26),0)</f>
        <v>0</v>
      </c>
      <c r="L25" s="95">
        <f t="shared" si="19"/>
        <v>0</v>
      </c>
    </row>
    <row r="26" spans="1:12" x14ac:dyDescent="0.25">
      <c r="A26" s="105"/>
      <c r="C26" s="90">
        <f>$C$8/C16</f>
        <v>4166.666666666667</v>
      </c>
      <c r="D26" s="90">
        <f>$C$8/D16</f>
        <v>4166.666666666667</v>
      </c>
      <c r="E26" s="90">
        <f>$C$8/E16</f>
        <v>4166.666666666667</v>
      </c>
      <c r="H26" s="105"/>
      <c r="J26" s="95">
        <f>$J$8/12</f>
        <v>8333.3333333333339</v>
      </c>
      <c r="K26" s="95">
        <f t="shared" ref="K26:L26" si="20">$J$8/12</f>
        <v>8333.3333333333339</v>
      </c>
      <c r="L26" s="95">
        <f t="shared" si="20"/>
        <v>8333.3333333333339</v>
      </c>
    </row>
    <row r="27" spans="1:12" x14ac:dyDescent="0.25">
      <c r="A27" s="105" t="s">
        <v>164</v>
      </c>
      <c r="B27" t="s">
        <v>174</v>
      </c>
      <c r="C27" s="90" t="e">
        <f>C25*$B$8</f>
        <v>#DIV/0!</v>
      </c>
      <c r="D27" s="90" t="e">
        <f t="shared" ref="D27:E27" si="21">D25*$B$8</f>
        <v>#DIV/0!</v>
      </c>
      <c r="E27" s="90" t="e">
        <f t="shared" si="21"/>
        <v>#DIV/0!</v>
      </c>
      <c r="H27" s="105" t="s">
        <v>164</v>
      </c>
      <c r="I27" t="s">
        <v>174</v>
      </c>
      <c r="J27" s="95">
        <f>J25*$I$8</f>
        <v>0</v>
      </c>
      <c r="K27" s="95">
        <f t="shared" ref="K27:L27" si="22">K25*$I$8</f>
        <v>0</v>
      </c>
      <c r="L27" s="95">
        <f t="shared" si="22"/>
        <v>0</v>
      </c>
    </row>
    <row r="28" spans="1:12" x14ac:dyDescent="0.25">
      <c r="A28" s="105" t="s">
        <v>162</v>
      </c>
      <c r="B28" t="s">
        <v>175</v>
      </c>
      <c r="C28" s="90" t="e">
        <f>C21+C24+C27</f>
        <v>#DIV/0!</v>
      </c>
      <c r="D28" s="90" t="e">
        <f>D21+D24+D27</f>
        <v>#DIV/0!</v>
      </c>
      <c r="E28" s="90" t="e">
        <f>E21+E24+E27</f>
        <v>#DIV/0!</v>
      </c>
      <c r="H28" s="105" t="s">
        <v>162</v>
      </c>
      <c r="I28" t="s">
        <v>175</v>
      </c>
      <c r="J28" s="95">
        <f>J21+J24+J27</f>
        <v>-48.9375</v>
      </c>
      <c r="K28" s="95">
        <f t="shared" ref="K28:L28" si="23">K21+K24+K27</f>
        <v>-48.9375</v>
      </c>
      <c r="L28" s="95">
        <f t="shared" si="23"/>
        <v>-48.9375</v>
      </c>
    </row>
    <row r="29" spans="1:12" x14ac:dyDescent="0.25">
      <c r="A29" s="105"/>
      <c r="C29" s="90"/>
      <c r="D29" s="90"/>
      <c r="E29" s="90"/>
      <c r="J29" s="95"/>
      <c r="K29" s="95"/>
      <c r="L29" s="95"/>
    </row>
  </sheetData>
  <sheetProtection algorithmName="SHA-512" hashValue="q0eAGVnijLIIReI6C1UT897wHo0Py0H7bEbOQYAXAZomaaUDjmwMz0f9EntVI8r7+moRW1qJNPbJ7WIT9vLMWQ==" saltValue="+sdpeXxbG5GjOe+88OQEm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K44"/>
  <sheetViews>
    <sheetView topLeftCell="D19" workbookViewId="0">
      <selection activeCell="F39" sqref="F39"/>
    </sheetView>
  </sheetViews>
  <sheetFormatPr defaultColWidth="8.85546875" defaultRowHeight="15" x14ac:dyDescent="0.25"/>
  <cols>
    <col min="2" max="2" width="9.140625" customWidth="1"/>
    <col min="3" max="3" width="91.140625" customWidth="1"/>
    <col min="4" max="4" width="12.7109375" customWidth="1"/>
    <col min="5" max="5" width="13.85546875" style="71" customWidth="1"/>
    <col min="6" max="6" width="17.85546875" customWidth="1"/>
    <col min="7" max="7" width="16" bestFit="1" customWidth="1"/>
    <col min="8" max="8" width="12.140625" customWidth="1"/>
    <col min="9" max="9" width="11.7109375" bestFit="1" customWidth="1"/>
  </cols>
  <sheetData>
    <row r="1" spans="1:11" x14ac:dyDescent="0.25">
      <c r="A1" s="1" t="s">
        <v>31</v>
      </c>
    </row>
    <row r="2" spans="1:11" x14ac:dyDescent="0.25">
      <c r="D2" s="18" t="s">
        <v>118</v>
      </c>
      <c r="E2" s="72" t="s">
        <v>118</v>
      </c>
      <c r="F2" s="72" t="s">
        <v>118</v>
      </c>
    </row>
    <row r="3" spans="1:11" x14ac:dyDescent="0.25">
      <c r="A3" t="s">
        <v>33</v>
      </c>
      <c r="B3" t="s">
        <v>34</v>
      </c>
    </row>
    <row r="5" spans="1:11" x14ac:dyDescent="0.25">
      <c r="B5" t="s">
        <v>35</v>
      </c>
      <c r="C5" t="s">
        <v>36</v>
      </c>
      <c r="D5" s="49" t="e">
        <f>'Pay Check Comparision'!D41</f>
        <v>#DIV/0!</v>
      </c>
      <c r="E5" s="80" t="e">
        <f>'Pay Check Comparision'!I41</f>
        <v>#DIV/0!</v>
      </c>
      <c r="F5" s="84" t="e">
        <f>'Pay Check Comparision'!N41</f>
        <v>#DIV/0!</v>
      </c>
    </row>
    <row r="6" spans="1:11" x14ac:dyDescent="0.25">
      <c r="B6" t="s">
        <v>38</v>
      </c>
      <c r="C6" t="s">
        <v>37</v>
      </c>
      <c r="D6" s="36">
        <v>1</v>
      </c>
      <c r="E6" s="71">
        <v>1</v>
      </c>
      <c r="F6">
        <v>1</v>
      </c>
    </row>
    <row r="7" spans="1:11" x14ac:dyDescent="0.25">
      <c r="B7" t="s">
        <v>39</v>
      </c>
      <c r="C7" t="s">
        <v>40</v>
      </c>
      <c r="D7" s="3" t="e">
        <f>D5*D6</f>
        <v>#DIV/0!</v>
      </c>
      <c r="E7" s="71" t="e">
        <f>E5*E6</f>
        <v>#DIV/0!</v>
      </c>
      <c r="F7" s="71" t="e">
        <f>F5*F6</f>
        <v>#DIV/0!</v>
      </c>
    </row>
    <row r="8" spans="1:11" x14ac:dyDescent="0.25">
      <c r="D8" s="3"/>
    </row>
    <row r="9" spans="1:11" s="13" customFormat="1" ht="45" customHeight="1" x14ac:dyDescent="0.25">
      <c r="D9" s="37"/>
      <c r="E9" s="73"/>
      <c r="H9" s="39" t="s">
        <v>76</v>
      </c>
      <c r="I9" s="38" t="s">
        <v>77</v>
      </c>
    </row>
    <row r="10" spans="1:11" x14ac:dyDescent="0.25">
      <c r="A10" t="s">
        <v>49</v>
      </c>
      <c r="D10" s="3"/>
      <c r="G10" s="4"/>
      <c r="H10">
        <f>'Pay Check Comparision'!C44</f>
        <v>0</v>
      </c>
      <c r="I10">
        <f>'Pay Check Comparision'!C45</f>
        <v>0</v>
      </c>
    </row>
    <row r="11" spans="1:11" ht="15.75" thickBot="1" x14ac:dyDescent="0.3">
      <c r="B11" t="s">
        <v>41</v>
      </c>
      <c r="C11" s="4" t="s">
        <v>104</v>
      </c>
      <c r="D11" s="35" t="str">
        <f>IF($H$10='Filing Status'!$E$2,'Pay Check Comparision'!$C$48,"0")</f>
        <v>0</v>
      </c>
      <c r="E11" s="35" t="str">
        <f>IF($H$10='Filing Status'!$E$2,'Pay Check Comparision'!$C$48,"0")</f>
        <v>0</v>
      </c>
      <c r="F11" s="35" t="str">
        <f>IF($H$10='Filing Status'!$E$2,'Pay Check Comparision'!$C$48,"0")</f>
        <v>0</v>
      </c>
      <c r="H11" s="4"/>
    </row>
    <row r="12" spans="1:11" ht="15.75" thickTop="1" x14ac:dyDescent="0.25">
      <c r="B12" t="s">
        <v>44</v>
      </c>
      <c r="C12" t="s">
        <v>75</v>
      </c>
      <c r="D12" s="11" t="str">
        <f>IF($H$10='Filing Status'!$E$2,D7+D11,"0")</f>
        <v>0</v>
      </c>
      <c r="E12" s="74" t="str">
        <f>IF($H$10='Filing Status'!$E$2,E7+E11,"0")</f>
        <v>0</v>
      </c>
      <c r="F12" s="74" t="str">
        <f>IF($H$10='Filing Status'!$E$2,F7+F11,"0")</f>
        <v>0</v>
      </c>
    </row>
    <row r="13" spans="1:11" x14ac:dyDescent="0.25">
      <c r="B13" t="s">
        <v>45</v>
      </c>
      <c r="C13" s="4" t="s">
        <v>103</v>
      </c>
      <c r="D13" s="34" t="str">
        <f>IF($H$10='Filing Status'!$E$2,'Pay Check Comparision'!$C$49,"0")</f>
        <v>0</v>
      </c>
      <c r="E13" s="74" t="str">
        <f>IF($H$10='Filing Status'!$E$2,'Pay Check Comparision'!$C$49,"0")</f>
        <v>0</v>
      </c>
      <c r="F13" s="74" t="str">
        <f>IF($H$10='Filing Status'!$E$2,'Pay Check Comparision'!$C$49,"0")</f>
        <v>0</v>
      </c>
    </row>
    <row r="14" spans="1:11" s="13" customFormat="1" ht="36.75" customHeight="1" thickBot="1" x14ac:dyDescent="0.3">
      <c r="B14" s="13" t="s">
        <v>46</v>
      </c>
      <c r="C14" s="14" t="s">
        <v>129</v>
      </c>
      <c r="D14" s="15" t="str">
        <f>IF(AND($H$10='Filing Status'!$E$2),IF($I$10='Filing Status'!$E$2,"0",IF('Pay Check Comparision'!$C$43='Filing Status'!$A$3,$H$14,IF('Pay Check Comparision'!$C$43&lt;&gt;'Filing Status'!$A$3,$I$14))),"0")</f>
        <v>0</v>
      </c>
      <c r="E14" s="70" t="str">
        <f>IF(AND($H$10='Filing Status'!$E$2),IF($I$10='Filing Status'!$E$2,"0",IF('Pay Check Comparision'!$C$43='Filing Status'!$A$3,$H$14,IF('Pay Check Comparision'!$C$43&lt;&gt;'Filing Status'!$A$3,$I$14))),"0")</f>
        <v>0</v>
      </c>
      <c r="F14" s="70" t="str">
        <f>IF(AND($H$10='Filing Status'!$E$2),IF($I$10='Filing Status'!$E$2,"0",IF('Pay Check Comparision'!$C$43='Filing Status'!$A$3,$H$14,IF('Pay Check Comparision'!$C$43&lt;&gt;'Filing Status'!$A$3,$I$14))),"0")</f>
        <v>0</v>
      </c>
      <c r="H14" s="13">
        <f>J14/12</f>
        <v>1075</v>
      </c>
      <c r="I14" s="13">
        <f>K14/12</f>
        <v>716.66666666666663</v>
      </c>
      <c r="J14" s="16">
        <v>12900</v>
      </c>
      <c r="K14" s="16">
        <v>8600</v>
      </c>
    </row>
    <row r="15" spans="1:11" ht="15.75" thickTop="1" x14ac:dyDescent="0.25">
      <c r="B15" t="s">
        <v>47</v>
      </c>
      <c r="C15" t="s">
        <v>79</v>
      </c>
      <c r="D15" s="11">
        <f>D13+D14</f>
        <v>0</v>
      </c>
      <c r="E15" s="74">
        <f>E13+E14</f>
        <v>0</v>
      </c>
      <c r="F15" s="74">
        <f>F13+F14</f>
        <v>0</v>
      </c>
    </row>
    <row r="16" spans="1:11" x14ac:dyDescent="0.25">
      <c r="B16" t="s">
        <v>48</v>
      </c>
      <c r="C16" t="s">
        <v>83</v>
      </c>
      <c r="D16" s="3">
        <f>MAX(0,D12-D15)</f>
        <v>0</v>
      </c>
      <c r="E16" s="59">
        <f>MAX(0,E12-E15)</f>
        <v>0</v>
      </c>
      <c r="F16" s="59">
        <f>MAX(0,F12-F15)</f>
        <v>0</v>
      </c>
    </row>
    <row r="17" spans="1:9" ht="45" x14ac:dyDescent="0.25">
      <c r="D17" s="3"/>
      <c r="H17" s="39" t="s">
        <v>76</v>
      </c>
    </row>
    <row r="18" spans="1:9" x14ac:dyDescent="0.25">
      <c r="A18" t="s">
        <v>50</v>
      </c>
      <c r="D18" s="3"/>
      <c r="G18" s="4"/>
      <c r="H18">
        <f>'Pay Check Comparision'!C44</f>
        <v>0</v>
      </c>
    </row>
    <row r="19" spans="1:9" x14ac:dyDescent="0.25">
      <c r="B19" t="s">
        <v>51</v>
      </c>
      <c r="C19" t="s">
        <v>81</v>
      </c>
      <c r="D19" s="44" t="str">
        <f>IF(($H$18='Filing Status'!$E$3),('Pay Check Comparision'!$C$47),"0")</f>
        <v>0</v>
      </c>
      <c r="E19" s="44" t="str">
        <f>IF(($H$18='Filing Status'!$E$3),('Pay Check Comparision'!$C$47),"0")</f>
        <v>0</v>
      </c>
      <c r="F19" s="44" t="str">
        <f>IF(($H$18='Filing Status'!$E$3),('Pay Check Comparision'!$C$47),"0")</f>
        <v>0</v>
      </c>
    </row>
    <row r="20" spans="1:9" ht="15.75" thickBot="1" x14ac:dyDescent="0.3">
      <c r="B20" t="s">
        <v>52</v>
      </c>
      <c r="C20" s="5" t="s">
        <v>80</v>
      </c>
      <c r="D20" s="12" t="str">
        <f>IF(($H$18='Filing Status'!$E$3),(D19*$H$20),"0")</f>
        <v>0</v>
      </c>
      <c r="E20" s="12" t="str">
        <f>IF(($H$18='Filing Status'!$E$3),(E19*$H$20),"0")</f>
        <v>0</v>
      </c>
      <c r="F20" s="12" t="str">
        <f>IF(($H$18='Filing Status'!$E$3),(F19*$H$20),"0")</f>
        <v>0</v>
      </c>
      <c r="H20">
        <f>4300/12</f>
        <v>358.33333333333331</v>
      </c>
      <c r="I20" s="10">
        <v>4300</v>
      </c>
    </row>
    <row r="21" spans="1:9" ht="15.75" thickTop="1" x14ac:dyDescent="0.25">
      <c r="B21" t="s">
        <v>53</v>
      </c>
      <c r="C21" t="s">
        <v>82</v>
      </c>
      <c r="D21" s="3" t="e">
        <f>IF((AND(($H$18='Filing Status'!$E$3),(D7-D20)&gt;0)),(D7-D20),"0")</f>
        <v>#DIV/0!</v>
      </c>
      <c r="E21" s="59" t="e">
        <f>IF((AND(($H$18='Filing Status'!$E$3),(E7-E20)&gt;0)),(E7-E20),"0")</f>
        <v>#DIV/0!</v>
      </c>
      <c r="F21" s="59" t="e">
        <f>IF((AND(($H$18='Filing Status'!$E$3),(F7-F20)&gt;0)),(F7-F20),"0")</f>
        <v>#DIV/0!</v>
      </c>
    </row>
    <row r="22" spans="1:9" x14ac:dyDescent="0.25">
      <c r="D22" s="3"/>
    </row>
    <row r="23" spans="1:9" x14ac:dyDescent="0.25">
      <c r="A23" t="s">
        <v>54</v>
      </c>
      <c r="B23" t="s">
        <v>55</v>
      </c>
    </row>
    <row r="24" spans="1:9" x14ac:dyDescent="0.25">
      <c r="B24" t="s">
        <v>56</v>
      </c>
    </row>
    <row r="26" spans="1:9" x14ac:dyDescent="0.25">
      <c r="B26" t="s">
        <v>57</v>
      </c>
    </row>
    <row r="28" spans="1:9" x14ac:dyDescent="0.25">
      <c r="B28" t="s">
        <v>58</v>
      </c>
      <c r="C28" t="s">
        <v>84</v>
      </c>
      <c r="D28" s="49" t="e">
        <f>MAX(D16,D21)</f>
        <v>#DIV/0!</v>
      </c>
      <c r="E28" s="80" t="e">
        <f>MAX(E16,E21)</f>
        <v>#DIV/0!</v>
      </c>
      <c r="F28" s="84" t="e">
        <f>MAX(F16,F21)</f>
        <v>#DIV/0!</v>
      </c>
    </row>
    <row r="29" spans="1:9" ht="48.75" customHeight="1" x14ac:dyDescent="0.25">
      <c r="B29" t="s">
        <v>59</v>
      </c>
      <c r="C29" s="13" t="s">
        <v>110</v>
      </c>
      <c r="D29" s="6"/>
      <c r="E29" s="81"/>
      <c r="F29" s="78"/>
    </row>
    <row r="30" spans="1:9" x14ac:dyDescent="0.25">
      <c r="B30" t="s">
        <v>60</v>
      </c>
      <c r="C30" t="s">
        <v>105</v>
      </c>
      <c r="D30" s="6"/>
      <c r="E30" s="81"/>
      <c r="F30" s="78"/>
    </row>
    <row r="31" spans="1:9" x14ac:dyDescent="0.25">
      <c r="B31" t="s">
        <v>61</v>
      </c>
      <c r="C31" t="s">
        <v>106</v>
      </c>
      <c r="D31" s="6"/>
      <c r="E31" s="81"/>
      <c r="F31" s="78"/>
    </row>
    <row r="32" spans="1:9" x14ac:dyDescent="0.25">
      <c r="B32" t="s">
        <v>62</v>
      </c>
      <c r="C32" t="s">
        <v>107</v>
      </c>
      <c r="D32" s="6"/>
      <c r="E32" s="81"/>
      <c r="F32" s="78"/>
    </row>
    <row r="33" spans="1:6" x14ac:dyDescent="0.25">
      <c r="B33" t="s">
        <v>63</v>
      </c>
      <c r="C33" t="s">
        <v>108</v>
      </c>
      <c r="D33" s="6"/>
      <c r="E33" s="81"/>
      <c r="F33" s="78"/>
    </row>
    <row r="34" spans="1:6" x14ac:dyDescent="0.25">
      <c r="B34" t="s">
        <v>64</v>
      </c>
      <c r="C34" t="s">
        <v>109</v>
      </c>
      <c r="D34" s="55">
        <f>MAX('2022 Percentage Method Tables'!$D$7,'2022 Percentage Method Tables'!$L$7)</f>
        <v>0</v>
      </c>
      <c r="E34" s="56">
        <f>MAX('2022 Percentage Method Tables'!$E$7,'2022 Percentage Method Tables'!$M$7)</f>
        <v>0</v>
      </c>
      <c r="F34" s="85">
        <f>MAX('2022 Percentage Method Tables'!$F$7,'2022 Percentage Method Tables'!$N$7)</f>
        <v>0</v>
      </c>
    </row>
    <row r="35" spans="1:6" s="13" customFormat="1" ht="30" x14ac:dyDescent="0.25">
      <c r="B35" s="13" t="s">
        <v>65</v>
      </c>
      <c r="C35" s="13" t="s">
        <v>111</v>
      </c>
      <c r="D35" s="13">
        <f>D34/D6</f>
        <v>0</v>
      </c>
      <c r="E35" s="75">
        <f>E34/E6</f>
        <v>0</v>
      </c>
      <c r="F35" s="75">
        <f>F34/F6</f>
        <v>0</v>
      </c>
    </row>
    <row r="37" spans="1:6" x14ac:dyDescent="0.25">
      <c r="A37" t="s">
        <v>66</v>
      </c>
      <c r="B37" t="s">
        <v>67</v>
      </c>
    </row>
    <row r="38" spans="1:6" x14ac:dyDescent="0.25">
      <c r="B38" t="s">
        <v>68</v>
      </c>
      <c r="C38" t="s">
        <v>112</v>
      </c>
      <c r="D38" t="str">
        <f>IF($H$10='Filing Status'!$E$2,'Pay Check Comparision'!$C$50,"0")</f>
        <v>0</v>
      </c>
      <c r="E38" s="71" t="str">
        <f>IF($H$10='Filing Status'!$E$2,'Pay Check Comparision'!$C$50,"0")</f>
        <v>0</v>
      </c>
      <c r="F38" s="71" t="str">
        <f>IF($H$10='Filing Status'!$E$2,'Pay Check Comparision'!$C$50,"0")</f>
        <v>0</v>
      </c>
    </row>
    <row r="39" spans="1:6" x14ac:dyDescent="0.25">
      <c r="B39" t="s">
        <v>69</v>
      </c>
      <c r="C39" t="s">
        <v>113</v>
      </c>
      <c r="D39">
        <f>D38/12</f>
        <v>0</v>
      </c>
      <c r="E39">
        <f>E38/12</f>
        <v>0</v>
      </c>
      <c r="F39">
        <f>F38/12</f>
        <v>0</v>
      </c>
    </row>
    <row r="40" spans="1:6" x14ac:dyDescent="0.25">
      <c r="B40" t="s">
        <v>70</v>
      </c>
      <c r="C40" t="s">
        <v>114</v>
      </c>
      <c r="D40">
        <f>MAX(0,D35-D39)</f>
        <v>0</v>
      </c>
      <c r="E40" s="71">
        <f>MAX(0,E35-E39)</f>
        <v>0</v>
      </c>
      <c r="F40" s="71">
        <f>MAX(0,F35-F39)</f>
        <v>0</v>
      </c>
    </row>
    <row r="42" spans="1:6" x14ac:dyDescent="0.25">
      <c r="A42" t="s">
        <v>71</v>
      </c>
      <c r="B42" t="s">
        <v>72</v>
      </c>
    </row>
    <row r="43" spans="1:6" s="13" customFormat="1" ht="30" x14ac:dyDescent="0.25">
      <c r="B43" s="13" t="s">
        <v>73</v>
      </c>
      <c r="C43" s="13" t="s">
        <v>115</v>
      </c>
      <c r="D43" s="13">
        <f>'Pay Check Comparision'!$C$46</f>
        <v>0</v>
      </c>
      <c r="E43" s="73">
        <f>'Pay Check Comparision'!$C$46</f>
        <v>0</v>
      </c>
      <c r="F43" s="73">
        <f>'Pay Check Comparision'!$C$46</f>
        <v>0</v>
      </c>
    </row>
    <row r="44" spans="1:6" x14ac:dyDescent="0.25">
      <c r="B44" t="s">
        <v>74</v>
      </c>
      <c r="C44" t="s">
        <v>116</v>
      </c>
      <c r="D44" s="47">
        <f>D40+D43</f>
        <v>0</v>
      </c>
      <c r="E44" s="80">
        <f>E40+E43</f>
        <v>0</v>
      </c>
      <c r="F44" s="84">
        <f>F40+F43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2:S81"/>
  <sheetViews>
    <sheetView topLeftCell="A7" workbookViewId="0">
      <selection activeCell="E18" sqref="E18"/>
    </sheetView>
  </sheetViews>
  <sheetFormatPr defaultColWidth="8.85546875" defaultRowHeight="15" x14ac:dyDescent="0.25"/>
  <cols>
    <col min="1" max="1" width="13.140625" customWidth="1"/>
    <col min="2" max="2" width="15" customWidth="1"/>
    <col min="3" max="3" width="18.42578125" customWidth="1"/>
    <col min="4" max="4" width="19.140625" customWidth="1"/>
    <col min="5" max="5" width="24.42578125" customWidth="1"/>
    <col min="6" max="6" width="16.42578125" customWidth="1"/>
    <col min="7" max="7" width="13.7109375" style="3" bestFit="1" customWidth="1"/>
    <col min="8" max="8" width="13.7109375" style="3" customWidth="1"/>
    <col min="9" max="9" width="13.140625" customWidth="1"/>
    <col min="10" max="10" width="15" customWidth="1"/>
    <col min="11" max="11" width="18.42578125" customWidth="1"/>
    <col min="12" max="12" width="19.140625" customWidth="1"/>
    <col min="13" max="13" width="24.42578125" customWidth="1"/>
    <col min="14" max="14" width="21.28515625" customWidth="1"/>
    <col min="15" max="15" width="18.42578125" customWidth="1"/>
    <col min="16" max="16" width="17" customWidth="1"/>
    <col min="17" max="17" width="9.7109375" bestFit="1" customWidth="1"/>
  </cols>
  <sheetData>
    <row r="2" spans="1:16" x14ac:dyDescent="0.25">
      <c r="A2" s="140" t="s">
        <v>121</v>
      </c>
      <c r="B2" s="140"/>
      <c r="C2" s="140"/>
      <c r="D2" s="140"/>
      <c r="E2" s="140"/>
      <c r="I2" s="141" t="s">
        <v>122</v>
      </c>
      <c r="J2" s="141"/>
      <c r="K2" s="141"/>
      <c r="L2" s="141"/>
      <c r="M2" s="141"/>
    </row>
    <row r="3" spans="1:16" x14ac:dyDescent="0.25">
      <c r="A3" t="s">
        <v>93</v>
      </c>
      <c r="I3" t="s">
        <v>95</v>
      </c>
    </row>
    <row r="4" spans="1:16" x14ac:dyDescent="0.25">
      <c r="A4" t="s">
        <v>94</v>
      </c>
      <c r="I4" t="s">
        <v>96</v>
      </c>
    </row>
    <row r="5" spans="1:16" x14ac:dyDescent="0.25">
      <c r="D5" t="s">
        <v>130</v>
      </c>
      <c r="L5" t="s">
        <v>131</v>
      </c>
    </row>
    <row r="6" spans="1:16" x14ac:dyDescent="0.25">
      <c r="A6" t="s">
        <v>132</v>
      </c>
      <c r="D6" s="52" t="str">
        <f>IF(OR('Pay Check Comparision'!$C$44='Filing Status'!$E$3,'Pay Check Comparision'!$C$45='Filing Status'!$E$3),'Federal Withholding  Hidden '!D28," ")</f>
        <v xml:space="preserve"> </v>
      </c>
      <c r="E6" s="83" t="str">
        <f>IF(OR('Pay Check Comparision'!$C$44='Filing Status'!$E$3,'Pay Check Comparision'!$C$45='Filing Status'!$E$3),'Federal Withholding  Hidden '!E28," ")</f>
        <v xml:space="preserve"> </v>
      </c>
      <c r="F6" s="86" t="str">
        <f>IF(OR('Pay Check Comparision'!$C$44='Filing Status'!$E$3,'Pay Check Comparision'!$C$45='Filing Status'!$E$3),'Federal Withholding  Hidden '!F28," ")</f>
        <v xml:space="preserve"> </v>
      </c>
      <c r="I6" t="s">
        <v>132</v>
      </c>
      <c r="L6" s="49" t="str">
        <f>IF(AND('Pay Check Comparision'!$C$44='Filing Status'!$E$2,'Pay Check Comparision'!$C$45='Filing Status'!$E$2),'Federal Withholding  Hidden '!D28," ")</f>
        <v xml:space="preserve"> </v>
      </c>
      <c r="M6" s="48" t="str">
        <f>IF(AND('Pay Check Comparision'!$C$44='Filing Status'!$E$2,'Pay Check Comparision'!$C$45='Filing Status'!$E$2),'Federal Withholding  Hidden '!E28," ")</f>
        <v xml:space="preserve"> </v>
      </c>
      <c r="N6" s="87" t="str">
        <f>IF(AND('Pay Check Comparision'!$C$44='Filing Status'!$E$2,'Pay Check Comparision'!$C$45='Filing Status'!$E$2),'Federal Withholding  Hidden '!F28," ")</f>
        <v xml:space="preserve"> </v>
      </c>
    </row>
    <row r="7" spans="1:16" x14ac:dyDescent="0.25">
      <c r="C7" t="s">
        <v>102</v>
      </c>
      <c r="D7" s="55">
        <f>MAX(F12:F39)</f>
        <v>0</v>
      </c>
      <c r="E7" s="82">
        <f>MAX(G12:G39)</f>
        <v>0</v>
      </c>
      <c r="F7" s="85">
        <f>MAX(H12:H39)</f>
        <v>0</v>
      </c>
      <c r="K7" t="s">
        <v>102</v>
      </c>
      <c r="L7" s="55">
        <f>MAX(N12:N39)</f>
        <v>0</v>
      </c>
      <c r="M7" s="82">
        <f>MAX(O12:O39)</f>
        <v>0</v>
      </c>
      <c r="N7" s="85">
        <f>MAX(P12:P39)</f>
        <v>0</v>
      </c>
    </row>
    <row r="8" spans="1:16" s="13" customFormat="1" ht="48" customHeight="1" x14ac:dyDescent="0.25">
      <c r="A8" s="13" t="s">
        <v>86</v>
      </c>
      <c r="B8" s="13" t="s">
        <v>87</v>
      </c>
      <c r="C8" s="13" t="s">
        <v>88</v>
      </c>
      <c r="D8" s="13" t="s">
        <v>89</v>
      </c>
      <c r="E8" s="13" t="s">
        <v>90</v>
      </c>
      <c r="G8" s="37"/>
      <c r="H8" s="37"/>
      <c r="I8" s="13" t="s">
        <v>86</v>
      </c>
      <c r="J8" s="13" t="s">
        <v>87</v>
      </c>
      <c r="K8" s="13" t="s">
        <v>88</v>
      </c>
      <c r="L8" s="13" t="s">
        <v>89</v>
      </c>
      <c r="M8" s="13" t="s">
        <v>90</v>
      </c>
    </row>
    <row r="9" spans="1:16" x14ac:dyDescent="0.25">
      <c r="A9" s="31" t="s">
        <v>99</v>
      </c>
      <c r="B9" s="32" t="s">
        <v>16</v>
      </c>
      <c r="C9" s="32" t="s">
        <v>100</v>
      </c>
      <c r="D9" s="32" t="s">
        <v>91</v>
      </c>
      <c r="E9" s="33" t="s">
        <v>101</v>
      </c>
      <c r="I9" s="31" t="s">
        <v>99</v>
      </c>
      <c r="J9" s="32" t="s">
        <v>16</v>
      </c>
      <c r="K9" s="32" t="s">
        <v>100</v>
      </c>
      <c r="L9" s="32" t="s">
        <v>91</v>
      </c>
      <c r="M9" s="33" t="s">
        <v>101</v>
      </c>
    </row>
    <row r="11" spans="1:16" x14ac:dyDescent="0.25">
      <c r="A11" s="28" t="s">
        <v>98</v>
      </c>
      <c r="B11" s="29"/>
      <c r="C11" s="29"/>
      <c r="D11" s="29"/>
      <c r="E11" s="30"/>
      <c r="G11"/>
      <c r="H11"/>
      <c r="I11" s="28" t="s">
        <v>98</v>
      </c>
      <c r="J11" s="29"/>
      <c r="K11" s="29"/>
      <c r="L11" s="29"/>
      <c r="M11" s="30"/>
    </row>
    <row r="12" spans="1:16" ht="15.75" x14ac:dyDescent="0.25">
      <c r="A12" s="19">
        <f>A54/12</f>
        <v>0</v>
      </c>
      <c r="B12" s="20">
        <f>B54/12</f>
        <v>1083.3333333333333</v>
      </c>
      <c r="C12" s="21">
        <f>C54/12</f>
        <v>0</v>
      </c>
      <c r="D12" s="22">
        <v>0</v>
      </c>
      <c r="E12" s="23">
        <f t="shared" ref="E12:E19" si="0">A12</f>
        <v>0</v>
      </c>
      <c r="F12" s="88" t="str">
        <f>IF(AND($D$6&lt;&gt;" ",'Pay Check Comparision'!$C$43='Filing Status'!$A$3,$D$6&gt;A12,$D$6&lt;B12),C12+(($D$6-E12)*D12)," ")</f>
        <v xml:space="preserve"> </v>
      </c>
      <c r="G12" s="82" t="str">
        <f>IF(AND($E$6&lt;&gt;" ",'Pay Check Comparision'!$C$43='Filing Status'!$A$3,$E$6&gt;A12,$E$6&lt;B12),C12+(($E$6-E12)*D12)," ")</f>
        <v xml:space="preserve"> </v>
      </c>
      <c r="H12" s="85" t="str">
        <f>IF(AND($F$6&lt;&gt;" ",'Pay Check Comparision'!$C$43='Filing Status'!$A$3,$F$6&gt;A12,$F$6&lt;B12),C12+(($F$6-E12)*D12)," ")</f>
        <v xml:space="preserve"> </v>
      </c>
      <c r="I12" s="19">
        <f>I54/12</f>
        <v>0</v>
      </c>
      <c r="J12" s="20">
        <f>J54/12</f>
        <v>1079.1666666666667</v>
      </c>
      <c r="K12" s="21">
        <f>K54/12</f>
        <v>0</v>
      </c>
      <c r="L12" s="22">
        <v>0</v>
      </c>
      <c r="M12" s="23">
        <f>I12</f>
        <v>0</v>
      </c>
      <c r="N12" s="88" t="str">
        <f>IF(AND($L$6&lt;&gt;" ",'Pay Check Comparision'!$C$43='Filing Status'!$A$3,$L$6&gt;I12,$L$6&lt;J12,$L$6&gt;I12,$L$6&lt;J12),K12+(($L$6-M12)*L12)," ")</f>
        <v xml:space="preserve"> </v>
      </c>
      <c r="O12" s="82" t="str">
        <f>IF(AND($M$6&lt;&gt;" ",'Pay Check Comparision'!$C$43='Filing Status'!$A$3,$M$6&gt;I12,$M$6&lt;J12,$M$6&gt;I12,$M$6&lt;J12),K12+(($M$6-M12)*L12)," ")</f>
        <v xml:space="preserve"> </v>
      </c>
      <c r="P12" s="89" t="str">
        <f>IF(AND($N$6&lt;&gt;" ",'Pay Check Comparision'!$C$43='Filing Status'!$A$3,$N$6&gt;I12,$N$6&lt;J12,$N$6&gt;I12,$N$6&lt;J12),K12+(($N$6-M12)*L12)," ")</f>
        <v xml:space="preserve"> </v>
      </c>
    </row>
    <row r="13" spans="1:16" ht="15.75" x14ac:dyDescent="0.25">
      <c r="A13" s="19">
        <f t="shared" ref="A13:C19" si="1">A55/12</f>
        <v>1083.3333333333333</v>
      </c>
      <c r="B13" s="20">
        <f t="shared" si="1"/>
        <v>2795.8333333333335</v>
      </c>
      <c r="C13" s="21">
        <f t="shared" si="1"/>
        <v>0</v>
      </c>
      <c r="D13" s="24">
        <v>0.1</v>
      </c>
      <c r="E13" s="23">
        <f t="shared" si="0"/>
        <v>1083.3333333333333</v>
      </c>
      <c r="F13" s="88" t="str">
        <f>IF(AND($D$6&lt;&gt;" ",'Pay Check Comparision'!$C$43='Filing Status'!$A$3,$D$6&gt;A13,$D$6&lt;B13),C13+(($D$6-E13)*D13)," ")</f>
        <v xml:space="preserve"> </v>
      </c>
      <c r="G13" s="82" t="str">
        <f>IF(AND($E$6&lt;&gt;" ",'Pay Check Comparision'!$C$43='Filing Status'!$A$3,$E$6&gt;A13,$E$6&lt;B13),C13+(($E$6-E13)*D13)," ")</f>
        <v xml:space="preserve"> </v>
      </c>
      <c r="H13" s="85" t="str">
        <f>IF(AND($F$6&lt;&gt;" ",'Pay Check Comparision'!$C$43='Filing Status'!$A$3,$F$6&gt;A13,$F$6&lt;B13),C13+(($F$6-E13)*D13)," ")</f>
        <v xml:space="preserve"> </v>
      </c>
      <c r="I13" s="19">
        <f t="shared" ref="I13:K19" si="2">I55/12</f>
        <v>1079.1666666666667</v>
      </c>
      <c r="J13" s="20">
        <f t="shared" si="2"/>
        <v>1935.4166666666667</v>
      </c>
      <c r="K13" s="21">
        <f t="shared" si="2"/>
        <v>0</v>
      </c>
      <c r="L13" s="24">
        <v>0.1</v>
      </c>
      <c r="M13" s="23">
        <f t="shared" ref="M13:M19" si="3">I13</f>
        <v>1079.1666666666667</v>
      </c>
      <c r="N13" s="88" t="str">
        <f>IF(AND($L$6&lt;&gt;" ",'Pay Check Comparision'!$C$43='Filing Status'!$A$3,$L$6&gt;I13,$L$6&lt;J13,$L$6&gt;I13,$L$6&lt;J13),K13+(($L$6-M13)*L13)," ")</f>
        <v xml:space="preserve"> </v>
      </c>
      <c r="O13" s="82" t="str">
        <f>IF(AND($M$6&lt;&gt;" ",'Pay Check Comparision'!$C$43='Filing Status'!$A$3,$M$6&gt;I13,$M$6&lt;J13,$M$6&gt;I13,$M$6&lt;J13),K13+(($M$6-M13)*L13)," ")</f>
        <v xml:space="preserve"> </v>
      </c>
      <c r="P13" s="89" t="str">
        <f>IF(AND($N$6&lt;&gt;" ",'Pay Check Comparision'!$C$43='Filing Status'!$A$3,$N$6&gt;I13,$N$6&lt;J13,$N$6&gt;I13,$N$6&lt;J13),K13+(($N$6-M13)*L13)," ")</f>
        <v xml:space="preserve"> </v>
      </c>
    </row>
    <row r="14" spans="1:16" ht="15.75" x14ac:dyDescent="0.25">
      <c r="A14" s="19">
        <f t="shared" si="1"/>
        <v>2795.8333333333335</v>
      </c>
      <c r="B14" s="20">
        <f t="shared" si="1"/>
        <v>8045.833333333333</v>
      </c>
      <c r="C14" s="21">
        <f t="shared" si="1"/>
        <v>171.25</v>
      </c>
      <c r="D14" s="24">
        <v>0.12</v>
      </c>
      <c r="E14" s="23">
        <f t="shared" si="0"/>
        <v>2795.8333333333335</v>
      </c>
      <c r="F14" s="88" t="str">
        <f>IF(AND($D$6&lt;&gt;" ",'Pay Check Comparision'!$C$43='Filing Status'!$A$3,$D$6&gt;A14,$D$6&lt;B14),C14+(($D$6-E14)*D14)," ")</f>
        <v xml:space="preserve"> </v>
      </c>
      <c r="G14" s="82" t="str">
        <f>IF(AND($E$6&lt;&gt;" ",'Pay Check Comparision'!$C$43='Filing Status'!$A$3,$E$6&gt;A14,$E$6&lt;B14),C14+(($E$6-E14)*D14)," ")</f>
        <v xml:space="preserve"> </v>
      </c>
      <c r="H14" s="85" t="str">
        <f>IF(AND($F$6&lt;&gt;" ",'Pay Check Comparision'!$C$43='Filing Status'!$A$3,$F$6&gt;A14,$F$6&lt;B14),C14+(($F$6-E14)*D14)," ")</f>
        <v xml:space="preserve"> </v>
      </c>
      <c r="I14" s="19">
        <f t="shared" si="2"/>
        <v>1935.4166666666667</v>
      </c>
      <c r="J14" s="20">
        <f t="shared" si="2"/>
        <v>4560.416666666667</v>
      </c>
      <c r="K14" s="21">
        <f t="shared" si="2"/>
        <v>85.625</v>
      </c>
      <c r="L14" s="24">
        <v>0.12</v>
      </c>
      <c r="M14" s="23">
        <f t="shared" si="3"/>
        <v>1935.4166666666667</v>
      </c>
      <c r="N14" s="88" t="str">
        <f>IF(AND($L$6&lt;&gt;" ",'Pay Check Comparision'!$C$43='Filing Status'!$A$3,$L$6&gt;I14,$L$6&lt;J14,$L$6&gt;I14,$L$6&lt;J14),K14+(($L$6-M14)*L14)," ")</f>
        <v xml:space="preserve"> </v>
      </c>
      <c r="O14" s="82" t="str">
        <f>IF(AND($M$6&lt;&gt;" ",'Pay Check Comparision'!$C$43='Filing Status'!$A$3,$M$6&gt;I14,$M$6&lt;J14,$M$6&gt;I14,$M$6&lt;J14),K14+(($M$6-M14)*L14)," ")</f>
        <v xml:space="preserve"> </v>
      </c>
      <c r="P14" s="89" t="str">
        <f>IF(AND($N$6&lt;&gt;" ",'Pay Check Comparision'!$C$43='Filing Status'!$A$3,$N$6&gt;I14,$N$6&lt;J14,$N$6&gt;I14,$N$6&lt;J14),K14+(($N$6-M14)*L14)," ")</f>
        <v xml:space="preserve"> </v>
      </c>
    </row>
    <row r="15" spans="1:16" ht="15.75" x14ac:dyDescent="0.25">
      <c r="A15" s="19">
        <f t="shared" si="1"/>
        <v>8045.833333333333</v>
      </c>
      <c r="B15" s="20">
        <f t="shared" si="1"/>
        <v>15929.166666666666</v>
      </c>
      <c r="C15" s="21">
        <f t="shared" si="1"/>
        <v>801.25</v>
      </c>
      <c r="D15" s="24">
        <v>0.22</v>
      </c>
      <c r="E15" s="23">
        <f t="shared" si="0"/>
        <v>8045.833333333333</v>
      </c>
      <c r="F15" s="88" t="str">
        <f>IF(AND($D$6&lt;&gt;" ",'Pay Check Comparision'!$C$43='Filing Status'!$A$3,$D$6&gt;A15,$D$6&lt;B15),C15+(($D$6-E15)*D15)," ")</f>
        <v xml:space="preserve"> </v>
      </c>
      <c r="G15" s="82" t="str">
        <f>IF(AND($E$6&lt;&gt;" ",'Pay Check Comparision'!$C$43='Filing Status'!$A$3,$E$6&gt;A15,$E$6&lt;B15),C15+(($E$6-E15)*D15)," ")</f>
        <v xml:space="preserve"> </v>
      </c>
      <c r="H15" s="85" t="str">
        <f>IF(AND($F$6&lt;&gt;" ",'Pay Check Comparision'!$C$43='Filing Status'!$A$3,$F$6&gt;A15,$F$6&lt;B15),C15+(($F$6-E15)*D15)," ")</f>
        <v xml:space="preserve"> </v>
      </c>
      <c r="I15" s="19">
        <f t="shared" si="2"/>
        <v>4560.416666666667</v>
      </c>
      <c r="J15" s="20">
        <f t="shared" si="2"/>
        <v>8502.0833333333339</v>
      </c>
      <c r="K15" s="21">
        <f t="shared" si="2"/>
        <v>400.625</v>
      </c>
      <c r="L15" s="24">
        <v>0.22</v>
      </c>
      <c r="M15" s="23">
        <f t="shared" si="3"/>
        <v>4560.416666666667</v>
      </c>
      <c r="N15" s="88" t="str">
        <f>IF(AND($L$6&lt;&gt;" ",'Pay Check Comparision'!$C$43='Filing Status'!$A$3,$L$6&gt;I15,$L$6&lt;J15,$L$6&gt;I15,$L$6&lt;J15),K15+(($L$6-M15)*L15)," ")</f>
        <v xml:space="preserve"> </v>
      </c>
      <c r="O15" s="82" t="str">
        <f>IF(AND($M$6&lt;&gt;" ",'Pay Check Comparision'!$C$43='Filing Status'!$A$3,$M$6&gt;I15,$M$6&lt;J15,$M$6&gt;I15,$M$6&lt;J15),K15+(($M$6-M15)*L15)," ")</f>
        <v xml:space="preserve"> </v>
      </c>
      <c r="P15" s="89" t="str">
        <f>IF(AND($N$6&lt;&gt;" ",'Pay Check Comparision'!$C$43='Filing Status'!$A$3,$N$6&gt;I15,$N$6&lt;J15,$N$6&gt;I15,$N$6&lt;J15),K15+(($N$6-M15)*L15)," ")</f>
        <v xml:space="preserve"> </v>
      </c>
    </row>
    <row r="16" spans="1:16" ht="15.75" x14ac:dyDescent="0.25">
      <c r="A16" s="19">
        <f t="shared" si="1"/>
        <v>15929.166666666666</v>
      </c>
      <c r="B16" s="20">
        <f t="shared" si="1"/>
        <v>29425</v>
      </c>
      <c r="C16" s="21">
        <f t="shared" si="1"/>
        <v>2535.5833333333335</v>
      </c>
      <c r="D16" s="24">
        <v>0.24</v>
      </c>
      <c r="E16" s="23">
        <f t="shared" si="0"/>
        <v>15929.166666666666</v>
      </c>
      <c r="F16" s="88" t="str">
        <f>IF(AND($D$6&lt;&gt;" ",'Pay Check Comparision'!$C$43='Filing Status'!$A$3,$D$6&gt;A16,$D$6&lt;B16),C16+(($D$6-E16)*D16)," ")</f>
        <v xml:space="preserve"> </v>
      </c>
      <c r="G16" s="82" t="str">
        <f>IF(AND($E$6&lt;&gt;" ",'Pay Check Comparision'!$C$43='Filing Status'!$A$3,$E$6&gt;A16,$E$6&lt;B16),C16+(($E$6-E16)*D16)," ")</f>
        <v xml:space="preserve"> </v>
      </c>
      <c r="H16" s="85" t="str">
        <f>IF(AND($F$6&lt;&gt;" ",'Pay Check Comparision'!$C$43='Filing Status'!$A$3,$F$6&gt;A16,$F$6&lt;B16),C16+(($F$6-E16)*D16)," ")</f>
        <v xml:space="preserve"> </v>
      </c>
      <c r="I16" s="19">
        <f t="shared" si="2"/>
        <v>8502.0833333333339</v>
      </c>
      <c r="J16" s="20">
        <f t="shared" si="2"/>
        <v>15250</v>
      </c>
      <c r="K16" s="21">
        <f t="shared" si="2"/>
        <v>1267.7916666666667</v>
      </c>
      <c r="L16" s="24">
        <v>0.24</v>
      </c>
      <c r="M16" s="23">
        <f t="shared" si="3"/>
        <v>8502.0833333333339</v>
      </c>
      <c r="N16" s="88" t="str">
        <f>IF(AND($L$6&lt;&gt;" ",'Pay Check Comparision'!$C$43='Filing Status'!$A$3,$L$6&gt;I16,$L$6&lt;J16,$L$6&gt;I16,$L$6&lt;J16),K16+(($L$6-M16)*L16)," ")</f>
        <v xml:space="preserve"> </v>
      </c>
      <c r="O16" s="82" t="str">
        <f>IF(AND($M$6&lt;&gt;" ",'Pay Check Comparision'!$C$43='Filing Status'!$A$3,$M$6&gt;I16,$M$6&lt;J16,$M$6&gt;I16,$M$6&lt;J16),K16+(($M$6-M16)*L16)," ")</f>
        <v xml:space="preserve"> </v>
      </c>
      <c r="P16" s="89" t="str">
        <f>IF(AND($N$6&lt;&gt;" ",'Pay Check Comparision'!$C$43='Filing Status'!$A$3,$N$6&gt;I16,$N$6&lt;J16,$N$6&gt;I16,$N$6&lt;J16),K16+(($N$6-M16)*L16)," ")</f>
        <v xml:space="preserve"> </v>
      </c>
    </row>
    <row r="17" spans="1:16" ht="15.75" x14ac:dyDescent="0.25">
      <c r="A17" s="19">
        <f t="shared" si="1"/>
        <v>29425</v>
      </c>
      <c r="B17" s="20">
        <f t="shared" si="1"/>
        <v>37075</v>
      </c>
      <c r="C17" s="21">
        <f t="shared" si="1"/>
        <v>5774.583333333333</v>
      </c>
      <c r="D17" s="24">
        <v>0.32</v>
      </c>
      <c r="E17" s="23">
        <f t="shared" si="0"/>
        <v>29425</v>
      </c>
      <c r="F17" s="88" t="str">
        <f>IF(AND($D$6&lt;&gt;" ",'Pay Check Comparision'!$C$43='Filing Status'!$A$3,$D$6&gt;A17,$D$6&lt;B17),C17+(($D$6-E17)*D17)," ")</f>
        <v xml:space="preserve"> </v>
      </c>
      <c r="G17" s="82" t="str">
        <f>IF(AND($E$6&lt;&gt;" ",'Pay Check Comparision'!$C$43='Filing Status'!$A$3,$E$6&gt;A17,$E$6&lt;B17),C17+(($E$6-E17)*D17)," ")</f>
        <v xml:space="preserve"> </v>
      </c>
      <c r="H17" s="85" t="str">
        <f>IF(AND($F$6&lt;&gt;" ",'Pay Check Comparision'!$C$43='Filing Status'!$A$3,$F$6&gt;A17,$F$6&lt;B17),C17+(($F$6-E17)*D17)," ")</f>
        <v xml:space="preserve"> </v>
      </c>
      <c r="I17" s="19">
        <f t="shared" si="2"/>
        <v>15250</v>
      </c>
      <c r="J17" s="20">
        <f t="shared" si="2"/>
        <v>19075</v>
      </c>
      <c r="K17" s="21">
        <f t="shared" si="2"/>
        <v>2887.2916666666665</v>
      </c>
      <c r="L17" s="24">
        <v>0.32</v>
      </c>
      <c r="M17" s="23">
        <f t="shared" si="3"/>
        <v>15250</v>
      </c>
      <c r="N17" s="88" t="str">
        <f>IF(AND($L$6&lt;&gt;" ",'Pay Check Comparision'!$C$43='Filing Status'!$A$3,$L$6&gt;I17,$L$6&lt;J17,$L$6&gt;I17,$L$6&lt;J17),K17+(($L$6-M17)*L17)," ")</f>
        <v xml:space="preserve"> </v>
      </c>
      <c r="O17" s="82" t="str">
        <f>IF(AND($M$6&lt;&gt;" ",'Pay Check Comparision'!$C$43='Filing Status'!$A$3,$M$6&gt;I17,$M$6&lt;J17,$M$6&gt;I17,$M$6&lt;J17),K17+(($M$6-M17)*L17)," ")</f>
        <v xml:space="preserve"> </v>
      </c>
      <c r="P17" s="89" t="str">
        <f>IF(AND($N$6&lt;&gt;" ",'Pay Check Comparision'!$C$43='Filing Status'!$A$3,$N$6&gt;I17,$N$6&lt;J17,$N$6&gt;I17,$N$6&lt;J17),K17+(($N$6-M17)*L17)," ")</f>
        <v xml:space="preserve"> </v>
      </c>
    </row>
    <row r="18" spans="1:16" ht="15.75" x14ac:dyDescent="0.25">
      <c r="A18" s="19">
        <f t="shared" si="1"/>
        <v>37075</v>
      </c>
      <c r="B18" s="20">
        <f t="shared" si="1"/>
        <v>55070.833333333336</v>
      </c>
      <c r="C18" s="21">
        <f t="shared" si="1"/>
        <v>8222.5833333333339</v>
      </c>
      <c r="D18" s="24">
        <v>0.35</v>
      </c>
      <c r="E18" s="23">
        <f t="shared" si="0"/>
        <v>37075</v>
      </c>
      <c r="F18" s="88" t="str">
        <f>IF(AND($D$6&lt;&gt;" ",'Pay Check Comparision'!$C$43='Filing Status'!$A$3,$D$6&gt;A18,$D$6&lt;B18),C18+(($D$6-E18)*D18)," ")</f>
        <v xml:space="preserve"> </v>
      </c>
      <c r="G18" s="82" t="str">
        <f>IF(AND($E$6&lt;&gt;" ",'Pay Check Comparision'!$C$43='Filing Status'!$A$3,$E$6&gt;A18,$E$6&lt;B18),C18+(($E$6-E18)*D18)," ")</f>
        <v xml:space="preserve"> </v>
      </c>
      <c r="H18" s="85" t="str">
        <f>IF(AND($F$6&lt;&gt;" ",'Pay Check Comparision'!$C$43='Filing Status'!$A$3,$F$6&gt;A18,$F$6&lt;B18),C18+(($F$6-E18)*D18)," ")</f>
        <v xml:space="preserve"> </v>
      </c>
      <c r="I18" s="19">
        <f t="shared" si="2"/>
        <v>19075</v>
      </c>
      <c r="J18" s="20">
        <f t="shared" si="2"/>
        <v>28072.916666666668</v>
      </c>
      <c r="K18" s="21">
        <f t="shared" si="2"/>
        <v>4111.291666666667</v>
      </c>
      <c r="L18" s="24">
        <v>0.35</v>
      </c>
      <c r="M18" s="23">
        <f t="shared" si="3"/>
        <v>19075</v>
      </c>
      <c r="N18" s="88" t="str">
        <f>IF(AND($L$6&lt;&gt;" ",'Pay Check Comparision'!$C$43='Filing Status'!$A$3,$L$6&gt;I18,$L$6&lt;J18,$L$6&gt;I18,$L$6&lt;J18),K18+(($L$6-M18)*L18)," ")</f>
        <v xml:space="preserve"> </v>
      </c>
      <c r="O18" s="82" t="str">
        <f>IF(AND($M$6&lt;&gt;" ",'Pay Check Comparision'!$C$43='Filing Status'!$A$3,$M$6&gt;I18,$M$6&lt;J18,$M$6&gt;I18,$M$6&lt;J18),K18+(($M$6-M18)*L18)," ")</f>
        <v xml:space="preserve"> </v>
      </c>
      <c r="P18" s="89" t="str">
        <f>IF(AND($N$6&lt;&gt;" ",'Pay Check Comparision'!$C$43='Filing Status'!$A$3,$N$6&gt;I18,$N$6&lt;J18,$N$6&gt;I18,$N$6&lt;J18),K18+(($N$6-M18)*L18)," ")</f>
        <v xml:space="preserve"> </v>
      </c>
    </row>
    <row r="19" spans="1:16" ht="15.75" x14ac:dyDescent="0.25">
      <c r="A19" s="19">
        <f t="shared" si="1"/>
        <v>55070.833333333336</v>
      </c>
      <c r="B19" s="20"/>
      <c r="C19" s="21">
        <f t="shared" ref="C19" si="4">C61/12</f>
        <v>14521.125</v>
      </c>
      <c r="D19" s="24">
        <v>0.37</v>
      </c>
      <c r="E19" s="23">
        <f t="shared" si="0"/>
        <v>55070.833333333336</v>
      </c>
      <c r="F19" s="88" t="str">
        <f>IF(AND($D$6&lt;&gt;" ",'Pay Check Comparision'!$C$43='Filing Status'!$A$3,$D$6&gt;A19,$D$6&lt;B19),C19+(($D$6-E19)*D19)," ")</f>
        <v xml:space="preserve"> </v>
      </c>
      <c r="G19" s="82" t="str">
        <f>IF(AND($E$6&lt;&gt;" ",'Pay Check Comparision'!$C$43='Filing Status'!$A$3,$E$6&gt;A19,$E$6&lt;B19),C19+(($E$6-E19)*D19)," ")</f>
        <v xml:space="preserve"> </v>
      </c>
      <c r="H19" s="85" t="str">
        <f>IF(AND($F$6&lt;&gt;" ",'Pay Check Comparision'!$C$43='Filing Status'!$A$3,$F$6&gt;A19,$F$6&lt;B19),C19+(($F$6-E19)*D19)," ")</f>
        <v xml:space="preserve"> </v>
      </c>
      <c r="I19" s="19">
        <f t="shared" si="2"/>
        <v>28072.916666666668</v>
      </c>
      <c r="J19" s="20"/>
      <c r="K19" s="21">
        <f t="shared" ref="K19" si="5">K61/12</f>
        <v>7260.5625</v>
      </c>
      <c r="L19" s="24">
        <v>0.37</v>
      </c>
      <c r="M19" s="23">
        <f t="shared" si="3"/>
        <v>28072.916666666668</v>
      </c>
      <c r="N19" s="88" t="str">
        <f>IF(AND($L$6&lt;&gt;" ",'Pay Check Comparision'!$C$43='Filing Status'!$A$3,$L$6&gt;I19,$L$6&lt;J19,$L$6&gt;I19,$L$6&lt;J19),K19+(($L$6-M19)*L19)," ")</f>
        <v xml:space="preserve"> </v>
      </c>
      <c r="O19" s="82" t="str">
        <f>IF(AND($M$6&lt;&gt;" ",'Pay Check Comparision'!$C$43='Filing Status'!$A$3,$M$6&gt;I19,$M$6&lt;J19,$M$6&gt;I19,$M$6&lt;J19),K19+(($M$6-M19)*L19)," ")</f>
        <v xml:space="preserve"> </v>
      </c>
      <c r="P19" s="89" t="str">
        <f>IF(AND($N$6&lt;&gt;" ",'Pay Check Comparision'!$C$43='Filing Status'!$A$3,$N$6&gt;I19,$N$6&lt;J19,$N$6&gt;I19,$N$6&lt;J19),K19+(($N$6-M19)*L19)," ")</f>
        <v xml:space="preserve"> </v>
      </c>
    </row>
    <row r="20" spans="1:16" x14ac:dyDescent="0.25">
      <c r="G20"/>
      <c r="H20" t="str">
        <f>IF(AND($F$6&lt;&gt;" ",'Pay Check Comparision'!$C$43='Filing Status'!$A$3,$F$6&gt;A20,$F$6&lt;B20),C20+(($F$6-E20)*D20)," ")</f>
        <v xml:space="preserve"> </v>
      </c>
      <c r="K20" s="50"/>
    </row>
    <row r="21" spans="1:16" x14ac:dyDescent="0.25">
      <c r="A21" s="28" t="s">
        <v>97</v>
      </c>
      <c r="B21" s="29"/>
      <c r="C21" s="29"/>
      <c r="D21" s="29"/>
      <c r="E21" s="30"/>
      <c r="G21"/>
      <c r="H21" t="str">
        <f>IF(AND($F$6&lt;&gt;" ",'Pay Check Comparision'!$C$43='Filing Status'!$A$3,$F$6&gt;A21,$F$6&lt;B21),C21+(($F$6-E21)*D21)," ")</f>
        <v xml:space="preserve"> </v>
      </c>
      <c r="I21" s="28" t="s">
        <v>97</v>
      </c>
      <c r="J21" s="29"/>
      <c r="K21" s="29"/>
      <c r="L21" s="29"/>
      <c r="M21" s="30"/>
    </row>
    <row r="22" spans="1:16" x14ac:dyDescent="0.25">
      <c r="A22" s="19">
        <f>A64/12</f>
        <v>0</v>
      </c>
      <c r="B22" s="20">
        <f>B64/12</f>
        <v>362.5</v>
      </c>
      <c r="C22" s="21">
        <f>C64/12</f>
        <v>0</v>
      </c>
      <c r="D22" s="22">
        <v>0</v>
      </c>
      <c r="E22" s="23">
        <f>A22</f>
        <v>0</v>
      </c>
      <c r="F22" s="88" t="str">
        <f>IF(((OR('Pay Check Comparision'!$C$43='Filing Status'!$A$4,'Pay Check Comparision'!$C$43='Filing Status'!$A$2)*AND($D$6&lt;&gt;" ",$D$6&gt;A22,$D$6&lt;B22))),C22+(($D$6-E22)*D22)," ")</f>
        <v xml:space="preserve"> </v>
      </c>
      <c r="G22" s="82" t="str">
        <f>IF(((OR('Pay Check Comparision'!$C$43='Filing Status'!$A$4,'Pay Check Comparision'!$C$43='Filing Status'!$A$2)*AND($E$6&lt;&gt;" ",$E$6&gt;A22,$E$6&lt;B22))),C22+(($E$6-E22)*D22)," ")</f>
        <v xml:space="preserve"> </v>
      </c>
      <c r="H22" s="85" t="str">
        <f>IF(((OR('Pay Check Comparision'!$C$43='Filing Status'!$A$4,'Pay Check Comparision'!$C$43='Filing Status'!$A$2)*AND($F$6&lt;&gt;" ",$F$6&gt;A22,$F$6&lt;B22))),C22+(($F$6-E22)*D22)," ")</f>
        <v xml:space="preserve"> </v>
      </c>
      <c r="I22" s="19">
        <f>I64/12</f>
        <v>0</v>
      </c>
      <c r="J22" s="20">
        <f>J64/12</f>
        <v>539.58333333333337</v>
      </c>
      <c r="K22" s="21">
        <f>K64/12</f>
        <v>0</v>
      </c>
      <c r="L22" s="22">
        <v>0</v>
      </c>
      <c r="M22" s="23">
        <f>I22</f>
        <v>0</v>
      </c>
      <c r="N22" s="88" t="str">
        <f>IF(((OR('Pay Check Comparision'!$C$43='Filing Status'!$A$4,'Pay Check Comparision'!$C$43='Filing Status'!$A$2)*AND($L$6&lt;&gt;" ",$L$6&gt;I22,$L$6&lt;J22))),K22+(($L$6-M22)*L22)," ")</f>
        <v xml:space="preserve"> </v>
      </c>
      <c r="O22" s="82" t="str">
        <f>IF(((OR('Pay Check Comparision'!$C$43='Filing Status'!$A$4,'Pay Check Comparision'!$C$43='Filing Status'!$A$2)*AND($M$6&lt;&gt;" ",$M$6&gt;I22,$M$6&lt;J22))),K22+(($M$6-M22)*L22)," ")</f>
        <v xml:space="preserve"> </v>
      </c>
      <c r="P22" s="85" t="str">
        <f>IF(((OR('Pay Check Comparision'!$C$43='Filing Status'!$A$4,'Pay Check Comparision'!$C$43='Filing Status'!$A$2)*AND($N$6&lt;&gt;" ",$N$6&gt;I22,$N$6&lt;J22))),K22+(($N$6-M22)*L22)," ")</f>
        <v xml:space="preserve"> </v>
      </c>
    </row>
    <row r="23" spans="1:16" x14ac:dyDescent="0.25">
      <c r="A23" s="19">
        <f t="shared" ref="A23:C29" si="6">A65/12</f>
        <v>362.5</v>
      </c>
      <c r="B23" s="20">
        <f t="shared" si="6"/>
        <v>1218.75</v>
      </c>
      <c r="C23" s="21">
        <f t="shared" si="6"/>
        <v>0</v>
      </c>
      <c r="D23" s="24">
        <v>0.1</v>
      </c>
      <c r="E23" s="23">
        <f t="shared" ref="E23:E29" si="7">A23</f>
        <v>362.5</v>
      </c>
      <c r="F23" s="88" t="str">
        <f>IF(((OR('Pay Check Comparision'!$C$43='Filing Status'!$A$4,'Pay Check Comparision'!$C$43='Filing Status'!$A$2)*AND($D$6&lt;&gt;" ",$D$6&gt;A23,$D$6&lt;B23))),C23+(($D$6-E23)*D23)," ")</f>
        <v xml:space="preserve"> </v>
      </c>
      <c r="G23" s="82" t="str">
        <f>IF(((OR('Pay Check Comparision'!$C$43='Filing Status'!$A$4,'Pay Check Comparision'!$C$43='Filing Status'!$A$2)*AND($E$6&lt;&gt;" ",$E$6&gt;A23,$E$6&lt;B23))),C23+(($E$6-E23)*D23)," ")</f>
        <v xml:space="preserve"> </v>
      </c>
      <c r="H23" s="85" t="str">
        <f>IF(((OR('Pay Check Comparision'!$C$43='Filing Status'!$A$4,'Pay Check Comparision'!$C$43='Filing Status'!$A$2)*AND($F$6&lt;&gt;" ",$F$6&gt;A23,$F$6&lt;B23))),C23+(($F$6-E23)*D23)," ")</f>
        <v xml:space="preserve"> </v>
      </c>
      <c r="I23" s="19">
        <f t="shared" ref="I23:K29" si="8">I65/12</f>
        <v>539.58333333333337</v>
      </c>
      <c r="J23" s="20">
        <f t="shared" si="8"/>
        <v>967.75</v>
      </c>
      <c r="K23" s="21">
        <f t="shared" si="8"/>
        <v>0</v>
      </c>
      <c r="L23" s="24">
        <v>0.1</v>
      </c>
      <c r="M23" s="23">
        <f t="shared" ref="M23:M29" si="9">I23</f>
        <v>539.58333333333337</v>
      </c>
      <c r="N23" s="88" t="str">
        <f>IF(((OR('Pay Check Comparision'!$C$43='Filing Status'!$A$4,'Pay Check Comparision'!$C$43='Filing Status'!$A$2)*AND($L$6&lt;&gt;" ",$L$6&gt;I23,$L$6&lt;J23))),K23+(($L$6-M23)*L23)," ")</f>
        <v xml:space="preserve"> </v>
      </c>
      <c r="O23" s="82" t="str">
        <f>IF(((OR('Pay Check Comparision'!$C$43='Filing Status'!$A$4,'Pay Check Comparision'!$C$43='Filing Status'!$A$2)*AND($M$6&lt;&gt;" ",$M$6&gt;I23,$M$6&lt;J23))),K23+(($M$6-M23)*L23)," ")</f>
        <v xml:space="preserve"> </v>
      </c>
      <c r="P23" s="85" t="str">
        <f>IF(((OR('Pay Check Comparision'!$C$43='Filing Status'!$A$4,'Pay Check Comparision'!$C$43='Filing Status'!$A$2)*AND($N$6&lt;&gt;" ",$N$6&gt;I23,$N$6&lt;J23))),K23+(($N$6-M23)*L23)," ")</f>
        <v xml:space="preserve"> </v>
      </c>
    </row>
    <row r="24" spans="1:16" x14ac:dyDescent="0.25">
      <c r="A24" s="19">
        <f t="shared" si="6"/>
        <v>1218.75</v>
      </c>
      <c r="B24" s="20">
        <f t="shared" si="6"/>
        <v>3843.75</v>
      </c>
      <c r="C24" s="21">
        <f t="shared" si="6"/>
        <v>85.625</v>
      </c>
      <c r="D24" s="24">
        <v>0.12</v>
      </c>
      <c r="E24" s="23">
        <f t="shared" si="7"/>
        <v>1218.75</v>
      </c>
      <c r="F24" s="88" t="str">
        <f>IF(((OR('Pay Check Comparision'!$C$43='Filing Status'!$A$4,'Pay Check Comparision'!$C$43='Filing Status'!$A$2)*AND($D$6&lt;&gt;" ",$D$6&gt;A24,$D$6&lt;B24))),C24+(($D$6-E24)*D24)," ")</f>
        <v xml:space="preserve"> </v>
      </c>
      <c r="G24" s="82" t="str">
        <f>IF(((OR('Pay Check Comparision'!$C$43='Filing Status'!$A$4,'Pay Check Comparision'!$C$43='Filing Status'!$A$2)*AND($E$6&lt;&gt;" ",$E$6&gt;A24,$E$6&lt;B24))),C24+(($E$6-E24)*D24)," ")</f>
        <v xml:space="preserve"> </v>
      </c>
      <c r="H24" s="85" t="str">
        <f>IF(((OR('Pay Check Comparision'!$C$43='Filing Status'!$A$4,'Pay Check Comparision'!$C$43='Filing Status'!$A$2)*AND($F$6&lt;&gt;" ",$F$6&gt;A24,$F$6&lt;B24))),C24+(($F$6-E24)*D24)," ")</f>
        <v xml:space="preserve"> </v>
      </c>
      <c r="I24" s="19">
        <f t="shared" si="8"/>
        <v>967.75</v>
      </c>
      <c r="J24" s="20">
        <f t="shared" si="8"/>
        <v>2280.25</v>
      </c>
      <c r="K24" s="21">
        <f t="shared" si="8"/>
        <v>42.8125</v>
      </c>
      <c r="L24" s="24">
        <v>0.12</v>
      </c>
      <c r="M24" s="23">
        <f t="shared" si="9"/>
        <v>967.75</v>
      </c>
      <c r="N24" s="88" t="str">
        <f>IF(((OR('Pay Check Comparision'!$C$43='Filing Status'!$A$4,'Pay Check Comparision'!$C$43='Filing Status'!$A$2)*AND($L$6&lt;&gt;" ",$L$6&gt;I24,$L$6&lt;J24))),K24+(($L$6-M24)*L24)," ")</f>
        <v xml:space="preserve"> </v>
      </c>
      <c r="O24" s="82" t="str">
        <f>IF(((OR('Pay Check Comparision'!$C$43='Filing Status'!$A$4,'Pay Check Comparision'!$C$43='Filing Status'!$A$2)*AND($M$6&lt;&gt;" ",$M$6&gt;I24,$M$6&lt;J24))),K24+(($M$6-M24)*L24)," ")</f>
        <v xml:space="preserve"> </v>
      </c>
      <c r="P24" s="85" t="str">
        <f>IF(((OR('Pay Check Comparision'!$C$43='Filing Status'!$A$4,'Pay Check Comparision'!$C$43='Filing Status'!$A$2)*AND($N$6&lt;&gt;" ",$N$6&gt;I24,$N$6&lt;J24))),K24+(($N$6-M24)*L24)," ")</f>
        <v xml:space="preserve"> </v>
      </c>
    </row>
    <row r="25" spans="1:16" x14ac:dyDescent="0.25">
      <c r="A25" s="19">
        <f t="shared" si="6"/>
        <v>3843.75</v>
      </c>
      <c r="B25" s="20">
        <f t="shared" si="6"/>
        <v>7785.416666666667</v>
      </c>
      <c r="C25" s="21">
        <f t="shared" si="6"/>
        <v>400.625</v>
      </c>
      <c r="D25" s="24">
        <v>0.22</v>
      </c>
      <c r="E25" s="23">
        <f t="shared" si="7"/>
        <v>3843.75</v>
      </c>
      <c r="F25" s="88" t="str">
        <f>IF(((OR('Pay Check Comparision'!$C$43='Filing Status'!$A$4,'Pay Check Comparision'!$C$43='Filing Status'!$A$2)*AND($D$6&lt;&gt;" ",$D$6&gt;A25,$D$6&lt;B25))),C25+(($D$6-E25)*D25)," ")</f>
        <v xml:space="preserve"> </v>
      </c>
      <c r="G25" s="82" t="str">
        <f>IF(((OR('Pay Check Comparision'!$C$43='Filing Status'!$A$4,'Pay Check Comparision'!$C$43='Filing Status'!$A$2)*AND($E$6&lt;&gt;" ",$E$6&gt;A25,$E$6&lt;B25))),C25+(($E$6-E25)*D25)," ")</f>
        <v xml:space="preserve"> </v>
      </c>
      <c r="H25" s="85" t="str">
        <f>IF(((OR('Pay Check Comparision'!$C$43='Filing Status'!$A$4,'Pay Check Comparision'!$C$43='Filing Status'!$A$2)*AND($F$6&lt;&gt;" ",$F$6&gt;A25,$F$6&lt;B25))),C25+(($F$6-E25)*D25)," ")</f>
        <v xml:space="preserve"> </v>
      </c>
      <c r="I25" s="19">
        <f t="shared" si="8"/>
        <v>2280.25</v>
      </c>
      <c r="J25" s="20">
        <f t="shared" si="8"/>
        <v>4251.083333333333</v>
      </c>
      <c r="K25" s="21">
        <f t="shared" si="8"/>
        <v>200.3125</v>
      </c>
      <c r="L25" s="24">
        <v>0.22</v>
      </c>
      <c r="M25" s="23">
        <f t="shared" si="9"/>
        <v>2280.25</v>
      </c>
      <c r="N25" s="88" t="str">
        <f>IF(((OR('Pay Check Comparision'!$C$43='Filing Status'!$A$4,'Pay Check Comparision'!$C$43='Filing Status'!$A$2)*AND($L$6&lt;&gt;" ",$L$6&gt;I25,$L$6&lt;J25))),K25+(($L$6-M25)*L25)," ")</f>
        <v xml:space="preserve"> </v>
      </c>
      <c r="O25" s="82" t="str">
        <f>IF(((OR('Pay Check Comparision'!$C$43='Filing Status'!$A$4,'Pay Check Comparision'!$C$43='Filing Status'!$A$2)*AND($M$6&lt;&gt;" ",$M$6&gt;I25,$M$6&lt;J25))),K25+(($M$6-M25)*L25)," ")</f>
        <v xml:space="preserve"> </v>
      </c>
      <c r="P25" s="85" t="str">
        <f>IF(((OR('Pay Check Comparision'!$C$43='Filing Status'!$A$4,'Pay Check Comparision'!$C$43='Filing Status'!$A$2)*AND($N$6&lt;&gt;" ",$N$6&gt;I25,$N$6&lt;J25))),K25+(($N$6-M25)*L25)," ")</f>
        <v xml:space="preserve"> </v>
      </c>
    </row>
    <row r="26" spans="1:16" x14ac:dyDescent="0.25">
      <c r="A26" s="19">
        <f t="shared" si="6"/>
        <v>7785.416666666667</v>
      </c>
      <c r="B26" s="20">
        <f t="shared" si="6"/>
        <v>14533.333333333334</v>
      </c>
      <c r="C26" s="21">
        <f t="shared" si="6"/>
        <v>1267.7916666666667</v>
      </c>
      <c r="D26" s="24">
        <v>0.24</v>
      </c>
      <c r="E26" s="23">
        <f t="shared" si="7"/>
        <v>7785.416666666667</v>
      </c>
      <c r="F26" s="88" t="str">
        <f>IF(((OR('Pay Check Comparision'!$C$43='Filing Status'!$A$4,'Pay Check Comparision'!$C$43='Filing Status'!$A$2)*AND($D$6&lt;&gt;" ",$D$6&gt;A26,$D$6&lt;B26))),C26+(($D$6-E26)*D26)," ")</f>
        <v xml:space="preserve"> </v>
      </c>
      <c r="G26" s="82" t="str">
        <f>IF(((OR('Pay Check Comparision'!$C$43='Filing Status'!$A$4,'Pay Check Comparision'!$C$43='Filing Status'!$A$2)*AND($E$6&lt;&gt;" ",$E$6&gt;A26,$E$6&lt;B26))),C26+(($E$6-E26)*D26)," ")</f>
        <v xml:space="preserve"> </v>
      </c>
      <c r="H26" s="85" t="str">
        <f>IF(((OR('Pay Check Comparision'!$C$43='Filing Status'!$A$4,'Pay Check Comparision'!$C$43='Filing Status'!$A$2)*AND($F$6&lt;&gt;" ",$F$6&gt;A26,$F$6&lt;B26))),C26+(($F$6-E26)*D26)," ")</f>
        <v xml:space="preserve"> </v>
      </c>
      <c r="I26" s="19">
        <f t="shared" si="8"/>
        <v>4251.083333333333</v>
      </c>
      <c r="J26" s="20">
        <f t="shared" si="8"/>
        <v>7625</v>
      </c>
      <c r="K26" s="21">
        <f t="shared" si="8"/>
        <v>633.89583333333337</v>
      </c>
      <c r="L26" s="24">
        <v>0.24</v>
      </c>
      <c r="M26" s="23">
        <f t="shared" si="9"/>
        <v>4251.083333333333</v>
      </c>
      <c r="N26" s="88" t="str">
        <f>IF(((OR('Pay Check Comparision'!$C$43='Filing Status'!$A$4,'Pay Check Comparision'!$C$43='Filing Status'!$A$2)*AND($L$6&lt;&gt;" ",$L$6&gt;I26,$L$6&lt;J26))),K26+(($L$6-M26)*L26)," ")</f>
        <v xml:space="preserve"> </v>
      </c>
      <c r="O26" s="82" t="str">
        <f>IF(((OR('Pay Check Comparision'!$C$43='Filing Status'!$A$4,'Pay Check Comparision'!$C$43='Filing Status'!$A$2)*AND($M$6&lt;&gt;" ",$M$6&gt;I26,$M$6&lt;J26))),K26+(($M$6-M26)*L26)," ")</f>
        <v xml:space="preserve"> </v>
      </c>
      <c r="P26" s="85" t="str">
        <f>IF(((OR('Pay Check Comparision'!$C$43='Filing Status'!$A$4,'Pay Check Comparision'!$C$43='Filing Status'!$A$2)*AND($N$6&lt;&gt;" ",$N$6&gt;I26,$N$6&lt;J26))),K26+(($N$6-M26)*L26)," ")</f>
        <v xml:space="preserve"> </v>
      </c>
    </row>
    <row r="27" spans="1:16" x14ac:dyDescent="0.25">
      <c r="A27" s="19">
        <f t="shared" si="6"/>
        <v>14533.333333333334</v>
      </c>
      <c r="B27" s="20">
        <f t="shared" si="6"/>
        <v>18358.333333333332</v>
      </c>
      <c r="C27" s="21">
        <f t="shared" si="6"/>
        <v>2887.2916666666665</v>
      </c>
      <c r="D27" s="24">
        <v>0.32</v>
      </c>
      <c r="E27" s="23">
        <f t="shared" si="7"/>
        <v>14533.333333333334</v>
      </c>
      <c r="F27" s="88" t="str">
        <f>IF(((OR('Pay Check Comparision'!$C$43='Filing Status'!$A$4,'Pay Check Comparision'!$C$43='Filing Status'!$A$2)*AND($D$6&lt;&gt;" ",$D$6&gt;A27,$D$6&lt;B27))),C27+(($D$6-E27)*D27)," ")</f>
        <v xml:space="preserve"> </v>
      </c>
      <c r="G27" s="82" t="str">
        <f>IF(((OR('Pay Check Comparision'!$C$43='Filing Status'!$A$4,'Pay Check Comparision'!$C$43='Filing Status'!$A$2)*AND($E$6&lt;&gt;" ",$E$6&gt;A27,$E$6&lt;B27))),C27+(($E$6-E27)*D27)," ")</f>
        <v xml:space="preserve"> </v>
      </c>
      <c r="H27" s="85" t="str">
        <f>IF(((OR('Pay Check Comparision'!$C$43='Filing Status'!$A$4,'Pay Check Comparision'!$C$43='Filing Status'!$A$2)*AND($F$6&lt;&gt;" ",$F$6&gt;A27,$F$6&lt;B27))),C27+(($F$6-E27)*D27)," ")</f>
        <v xml:space="preserve"> </v>
      </c>
      <c r="I27" s="19">
        <f t="shared" si="8"/>
        <v>7625</v>
      </c>
      <c r="J27" s="20">
        <f t="shared" si="8"/>
        <v>9537.5</v>
      </c>
      <c r="K27" s="21">
        <f t="shared" si="8"/>
        <v>1443.6458333333333</v>
      </c>
      <c r="L27" s="24">
        <v>0.32</v>
      </c>
      <c r="M27" s="23">
        <f t="shared" si="9"/>
        <v>7625</v>
      </c>
      <c r="N27" s="88" t="str">
        <f>IF(((OR('Pay Check Comparision'!$C$43='Filing Status'!$A$4,'Pay Check Comparision'!$C$43='Filing Status'!$A$2)*AND($L$6&lt;&gt;" ",$L$6&gt;I27,$L$6&lt;J27))),K27+(($L$6-M27)*L27)," ")</f>
        <v xml:space="preserve"> </v>
      </c>
      <c r="O27" s="82" t="str">
        <f>IF(((OR('Pay Check Comparision'!$C$43='Filing Status'!$A$4,'Pay Check Comparision'!$C$43='Filing Status'!$A$2)*AND($M$6&lt;&gt;" ",$M$6&gt;I27,$M$6&lt;J27))),K27+(($M$6-M27)*L27)," ")</f>
        <v xml:space="preserve"> </v>
      </c>
      <c r="P27" s="85" t="str">
        <f>IF(((OR('Pay Check Comparision'!$C$43='Filing Status'!$A$4,'Pay Check Comparision'!$C$43='Filing Status'!$A$2)*AND($N$6&lt;&gt;" ",$N$6&gt;I27,$N$6&lt;J27))),K27+(($N$6-M27)*L27)," ")</f>
        <v xml:space="preserve"> </v>
      </c>
    </row>
    <row r="28" spans="1:16" x14ac:dyDescent="0.25">
      <c r="A28" s="19">
        <f t="shared" si="6"/>
        <v>18358.333333333332</v>
      </c>
      <c r="B28" s="20">
        <f t="shared" si="6"/>
        <v>45354.166666666664</v>
      </c>
      <c r="C28" s="21">
        <f t="shared" si="6"/>
        <v>4111.291666666667</v>
      </c>
      <c r="D28" s="24">
        <v>0.35</v>
      </c>
      <c r="E28" s="23">
        <f t="shared" si="7"/>
        <v>18358.333333333332</v>
      </c>
      <c r="F28" s="88" t="str">
        <f>IF(((OR('Pay Check Comparision'!$C$43='Filing Status'!$A$4,'Pay Check Comparision'!$C$43='Filing Status'!$A$2)*AND($D$6&lt;&gt;" ",$D$6&gt;A28,$D$6&lt;B28))),C28+(($D$6-E28)*D28)," ")</f>
        <v xml:space="preserve"> </v>
      </c>
      <c r="G28" s="82" t="str">
        <f>IF(((OR('Pay Check Comparision'!$C$43='Filing Status'!$A$4,'Pay Check Comparision'!$C$43='Filing Status'!$A$2)*AND($E$6&lt;&gt;" ",$E$6&gt;A28,$E$6&lt;B28))),C28+(($E$6-E28)*D28)," ")</f>
        <v xml:space="preserve"> </v>
      </c>
      <c r="H28" s="85" t="str">
        <f>IF(((OR('Pay Check Comparision'!$C$43='Filing Status'!$A$4,'Pay Check Comparision'!$C$43='Filing Status'!$A$2)*AND($F$6&lt;&gt;" ",$F$6&gt;A28,$F$6&lt;B28))),C28+(($F$6-E28)*D28)," ")</f>
        <v xml:space="preserve"> </v>
      </c>
      <c r="I28" s="19">
        <f t="shared" si="8"/>
        <v>9537.5</v>
      </c>
      <c r="J28" s="20">
        <f t="shared" si="8"/>
        <v>23035.416666666668</v>
      </c>
      <c r="K28" s="21">
        <f t="shared" si="8"/>
        <v>2055.6458333333335</v>
      </c>
      <c r="L28" s="24">
        <v>0.35</v>
      </c>
      <c r="M28" s="23">
        <f t="shared" si="9"/>
        <v>9537.5</v>
      </c>
      <c r="N28" s="88" t="str">
        <f>IF(((OR('Pay Check Comparision'!$C$43='Filing Status'!$A$4,'Pay Check Comparision'!$C$43='Filing Status'!$A$2)*AND($L$6&lt;&gt;" ",$L$6&gt;I28,$L$6&lt;J28))),K28+(($L$6-M28)*L28)," ")</f>
        <v xml:space="preserve"> </v>
      </c>
      <c r="O28" s="82" t="str">
        <f>IF(((OR('Pay Check Comparision'!$C$43='Filing Status'!$A$4,'Pay Check Comparision'!$C$43='Filing Status'!$A$2)*AND($M$6&lt;&gt;" ",$M$6&gt;I28,$M$6&lt;J28))),K28+(($M$6-M28)*L28)," ")</f>
        <v xml:space="preserve"> </v>
      </c>
      <c r="P28" s="85" t="str">
        <f>IF(((OR('Pay Check Comparision'!$C$43='Filing Status'!$A$4,'Pay Check Comparision'!$C$43='Filing Status'!$A$2)*AND($N$6&lt;&gt;" ",$N$6&gt;I28,$N$6&lt;J28))),K28+(($N$6-M28)*L28)," ")</f>
        <v xml:space="preserve"> </v>
      </c>
    </row>
    <row r="29" spans="1:16" x14ac:dyDescent="0.25">
      <c r="A29" s="19">
        <f t="shared" si="6"/>
        <v>45354.166666666664</v>
      </c>
      <c r="B29" s="20"/>
      <c r="C29" s="21">
        <f t="shared" ref="C29" si="10">C71/12</f>
        <v>13559.833333333334</v>
      </c>
      <c r="D29" s="24">
        <v>0.37</v>
      </c>
      <c r="E29" s="23">
        <f t="shared" si="7"/>
        <v>45354.166666666664</v>
      </c>
      <c r="F29" s="88" t="str">
        <f>IF(((OR('Pay Check Comparision'!$C$43='Filing Status'!$A$4,'Pay Check Comparision'!$C$43='Filing Status'!$A$2)*AND($D$6&lt;&gt;" ",$D$6&gt;A29,$D$6&lt;B29))),C29+(($D$6-E29)*D29)," ")</f>
        <v xml:space="preserve"> </v>
      </c>
      <c r="G29" s="82" t="str">
        <f>IF(((OR('Pay Check Comparision'!$C$43='Filing Status'!$A$4,'Pay Check Comparision'!$C$43='Filing Status'!$A$2)*AND($E$6&lt;&gt;" ",$E$6&gt;A29,$E$6&lt;B29))),C29+(($E$6-E29)*D29)," ")</f>
        <v xml:space="preserve"> </v>
      </c>
      <c r="H29" s="85" t="str">
        <f>IF(((OR('Pay Check Comparision'!$C$43='Filing Status'!$A$4,'Pay Check Comparision'!$C$43='Filing Status'!$A$2)*AND($F$6&lt;&gt;" ",$F$6&gt;A29,$F$6&lt;B29))),C29+(($F$6-E29)*D29)," ")</f>
        <v xml:space="preserve"> </v>
      </c>
      <c r="I29" s="19">
        <f t="shared" si="8"/>
        <v>23035.416666666668</v>
      </c>
      <c r="J29" s="20"/>
      <c r="K29" s="21">
        <f t="shared" ref="K29" si="11">K71/12</f>
        <v>6779.916666666667</v>
      </c>
      <c r="L29" s="24">
        <v>0.37</v>
      </c>
      <c r="M29" s="23">
        <f t="shared" si="9"/>
        <v>23035.416666666668</v>
      </c>
      <c r="N29" s="88" t="str">
        <f>IF(((OR('Pay Check Comparision'!$C$43='Filing Status'!$A$4,'Pay Check Comparision'!$C$43='Filing Status'!$A$2)*AND($L$6&lt;&gt;" ",$L$6&gt;I29,$L$6&lt;J29))),K29+(($L$6-M29)*L29)," ")</f>
        <v xml:space="preserve"> </v>
      </c>
      <c r="O29" s="82" t="str">
        <f>IF(((OR('Pay Check Comparision'!$C$43='Filing Status'!$A$4,'Pay Check Comparision'!$C$43='Filing Status'!$A$2)*AND($M$6&lt;&gt;" ",$M$6&gt;I29,$M$6&lt;J29))),K29+(($M$6-M29)*L29)," ")</f>
        <v xml:space="preserve"> </v>
      </c>
      <c r="P29" s="85" t="str">
        <f>IF(((OR('Pay Check Comparision'!$C$43='Filing Status'!$A$4,'Pay Check Comparision'!$C$43='Filing Status'!$A$2)*AND($N$6&lt;&gt;" ",$N$6&gt;I29,$N$6&lt;J29))),K29+(($N$6-M29)*L29)," ")</f>
        <v xml:space="preserve"> </v>
      </c>
    </row>
    <row r="30" spans="1:16" x14ac:dyDescent="0.25">
      <c r="G30"/>
      <c r="H30" t="str">
        <f>IF(AND($F$6&lt;&gt;" ",'Pay Check Comparision'!$C$43='Filing Status'!$A$3,$F$6&gt;A30,$F$6&lt;B30),C30+(($F$6-E30)*D30)," ")</f>
        <v xml:space="preserve"> </v>
      </c>
    </row>
    <row r="31" spans="1:16" x14ac:dyDescent="0.25">
      <c r="A31" s="28" t="s">
        <v>9</v>
      </c>
      <c r="B31" s="29"/>
      <c r="C31" s="29"/>
      <c r="D31" s="29"/>
      <c r="E31" s="30"/>
      <c r="G31"/>
      <c r="H31" t="str">
        <f>IF(AND($F$6&lt;&gt;" ",'Pay Check Comparision'!$C$43='Filing Status'!$A$3,$F$6&gt;A31,$F$6&lt;B31),C31+(($F$6-E31)*D31)," ")</f>
        <v xml:space="preserve"> </v>
      </c>
      <c r="I31" s="28" t="s">
        <v>9</v>
      </c>
      <c r="J31" s="29"/>
      <c r="K31" s="29"/>
      <c r="L31" s="29"/>
      <c r="M31" s="30"/>
    </row>
    <row r="32" spans="1:16" ht="15.75" x14ac:dyDescent="0.25">
      <c r="A32" s="19">
        <f>A74/12</f>
        <v>0</v>
      </c>
      <c r="B32" s="20">
        <f>B74/12</f>
        <v>900</v>
      </c>
      <c r="C32" s="21">
        <f>C74/12</f>
        <v>0</v>
      </c>
      <c r="D32" s="22">
        <v>0</v>
      </c>
      <c r="E32" s="23">
        <f>A32</f>
        <v>0</v>
      </c>
      <c r="F32" s="88" t="str">
        <f>IF(AND($D$6&lt;&gt;" ",'Pay Check Comparision'!$C$43='Filing Status'!$A$5,$D$6&gt;A32,$D$6&lt;B32),C32+(($D$6-E32)*D32)," ")</f>
        <v xml:space="preserve"> </v>
      </c>
      <c r="G32" s="82" t="str">
        <f>IF(AND($E$6&lt;&gt;" ",'Pay Check Comparision'!$C$43='Filing Status'!$A$5,$E$6&gt;A32,$E$6&lt;B32),C32+(($E$6-E32)*D32)," ")</f>
        <v xml:space="preserve"> </v>
      </c>
      <c r="H32" s="85" t="str">
        <f>IF(AND($F$6&lt;&gt;" ",'Pay Check Comparision'!$C$43='Filing Status'!$A$5,$F$6&gt;A32,$F$6&lt;B32),C32+(($F$6-E32)*D32)," ")</f>
        <v xml:space="preserve"> </v>
      </c>
      <c r="I32" s="19">
        <f>I74/12</f>
        <v>0</v>
      </c>
      <c r="J32" s="20">
        <f>J74/12</f>
        <v>808.33333333333337</v>
      </c>
      <c r="K32" s="21">
        <f>K74/12</f>
        <v>0</v>
      </c>
      <c r="L32" s="22">
        <v>0</v>
      </c>
      <c r="M32" s="23">
        <f>I32</f>
        <v>0</v>
      </c>
      <c r="N32" s="88" t="str">
        <f>IF(AND($L$6&lt;&gt;" ",'Pay Check Comparision'!$C$43='Filing Status'!$A$5,$L$6&gt;I32,$L$6&lt;J32),K32+(($L$6-M32)*L32)," ")</f>
        <v xml:space="preserve"> </v>
      </c>
      <c r="O32" s="82" t="str">
        <f>IF(AND($M$6&lt;&gt;" ",'Pay Check Comparision'!$C$43='Filing Status'!$A$5,$M$6&gt;I32,$M$6&lt;J32),K32+(($M$6-M32)*L32)," ")</f>
        <v xml:space="preserve"> </v>
      </c>
      <c r="P32" s="89" t="str">
        <f>IF(AND($N$6&lt;&gt;" ",'Pay Check Comparision'!$C$43='Filing Status'!$A$5,$N$6&gt;I32,$N$6&lt;J32),K32+(($N$6-M32)*L32)," ")</f>
        <v xml:space="preserve"> </v>
      </c>
    </row>
    <row r="33" spans="1:16" ht="15.75" x14ac:dyDescent="0.25">
      <c r="A33" s="19">
        <f t="shared" ref="A33:C39" si="12">A75/12</f>
        <v>900</v>
      </c>
      <c r="B33" s="20">
        <f t="shared" si="12"/>
        <v>2037.5</v>
      </c>
      <c r="C33" s="21">
        <f t="shared" si="12"/>
        <v>0</v>
      </c>
      <c r="D33" s="24">
        <v>0.1</v>
      </c>
      <c r="E33" s="23">
        <f t="shared" ref="E33:E39" si="13">A33</f>
        <v>900</v>
      </c>
      <c r="F33" s="88" t="str">
        <f>IF(AND($D$6&lt;&gt;" ",'Pay Check Comparision'!$C$43='Filing Status'!$A$5,$D$6&gt;A33,$D$6&lt;B33),C33+(($D$6-E33)*D33)," ")</f>
        <v xml:space="preserve"> </v>
      </c>
      <c r="G33" s="82" t="str">
        <f>IF(AND($E$6&lt;&gt;" ",'Pay Check Comparision'!$C$43='Filing Status'!$A$5,$E$6&gt;A33,$E$6&lt;B33),C33+(($E$6-E33)*D33)," ")</f>
        <v xml:space="preserve"> </v>
      </c>
      <c r="H33" s="85" t="str">
        <f>IF(AND($F$6&lt;&gt;" ",'Pay Check Comparision'!$C$43='Filing Status'!$A$5,$F$6&gt;A33,$F$6&lt;B33),C33+(($F$6-E33)*D33)," ")</f>
        <v xml:space="preserve"> </v>
      </c>
      <c r="I33" s="19">
        <f t="shared" ref="I33:K39" si="14">I75/12</f>
        <v>808.33333333333337</v>
      </c>
      <c r="J33" s="20">
        <f t="shared" si="14"/>
        <v>1418.75</v>
      </c>
      <c r="K33" s="21">
        <f t="shared" si="14"/>
        <v>0</v>
      </c>
      <c r="L33" s="24">
        <v>0.1</v>
      </c>
      <c r="M33" s="23">
        <f t="shared" ref="M33:M39" si="15">I33</f>
        <v>808.33333333333337</v>
      </c>
      <c r="N33" s="88" t="str">
        <f>IF(AND($L$6&lt;&gt;" ",'Pay Check Comparision'!$C$43='Filing Status'!$A$5,$L$6&gt;I33,$L$6&lt;J33),K33+(($L$6-M33)*L33)," ")</f>
        <v xml:space="preserve"> </v>
      </c>
      <c r="O33" s="82" t="str">
        <f>IF(AND($M$6&lt;&gt;" ",'Pay Check Comparision'!$C$43='Filing Status'!$A$5,$M$6&gt;I33,$M$6&lt;J33),K33+(($M$6-M33)*L33)," ")</f>
        <v xml:space="preserve"> </v>
      </c>
      <c r="P33" s="89" t="str">
        <f>IF(AND($N$6&lt;&gt;" ",'Pay Check Comparision'!$C$43='Filing Status'!$A$5,$N$6&gt;I33,$N$6&lt;J33),K33+(($N$6-M33)*L33)," ")</f>
        <v xml:space="preserve"> </v>
      </c>
    </row>
    <row r="34" spans="1:16" ht="15.75" x14ac:dyDescent="0.25">
      <c r="A34" s="19">
        <f t="shared" si="12"/>
        <v>2037.5</v>
      </c>
      <c r="B34" s="20">
        <f t="shared" si="12"/>
        <v>5558.333333333333</v>
      </c>
      <c r="C34" s="21">
        <f t="shared" si="12"/>
        <v>122.08333333333333</v>
      </c>
      <c r="D34" s="24">
        <v>0.12</v>
      </c>
      <c r="E34" s="23">
        <f t="shared" si="13"/>
        <v>2037.5</v>
      </c>
      <c r="F34" s="88" t="str">
        <f>IF(AND($D$6&lt;&gt;" ",'Pay Check Comparision'!$C$43='Filing Status'!$A$5,$D$6&gt;A34,$D$6&lt;B34),C34+(($D$6-E34)*D34)," ")</f>
        <v xml:space="preserve"> </v>
      </c>
      <c r="G34" s="82" t="str">
        <f>IF(AND($E$6&lt;&gt;" ",'Pay Check Comparision'!$C$43='Filing Status'!$A$5,$E$6&gt;A34,$E$6&lt;B34),C34+(($E$6-E34)*D34)," ")</f>
        <v xml:space="preserve"> </v>
      </c>
      <c r="H34" s="85" t="str">
        <f>IF(AND($F$6&lt;&gt;" ",'Pay Check Comparision'!$C$43='Filing Status'!$A$5,$F$6&gt;A34,$F$6&lt;B34),C34+(($F$6-E34)*D34)," ")</f>
        <v xml:space="preserve"> </v>
      </c>
      <c r="I34" s="19">
        <f t="shared" si="14"/>
        <v>1418.75</v>
      </c>
      <c r="J34" s="20">
        <f t="shared" si="14"/>
        <v>3137.5</v>
      </c>
      <c r="K34" s="21">
        <f t="shared" si="14"/>
        <v>59.166666666666664</v>
      </c>
      <c r="L34" s="24">
        <v>0.12</v>
      </c>
      <c r="M34" s="23">
        <f t="shared" si="15"/>
        <v>1418.75</v>
      </c>
      <c r="N34" s="88" t="str">
        <f>IF(AND($L$6&lt;&gt;" ",'Pay Check Comparision'!$C$43='Filing Status'!$A$5,$L$6&gt;I34,$L$6&lt;J34),K34+(($L$6-M34)*L34)," ")</f>
        <v xml:space="preserve"> </v>
      </c>
      <c r="O34" s="82" t="str">
        <f>IF(AND($M$6&lt;&gt;" ",'Pay Check Comparision'!$C$43='Filing Status'!$A$5,$M$6&gt;I34,$M$6&lt;J34),K34+(($M$6-M34)*L34)," ")</f>
        <v xml:space="preserve"> </v>
      </c>
      <c r="P34" s="89" t="str">
        <f>IF(AND($N$6&lt;&gt;" ",'Pay Check Comparision'!$C$43='Filing Status'!$A$5,$N$6&gt;I34,$N$6&lt;J34),K34+(($N$6-M34)*L34)," ")</f>
        <v xml:space="preserve"> </v>
      </c>
    </row>
    <row r="35" spans="1:16" ht="15.75" x14ac:dyDescent="0.25">
      <c r="A35" s="19">
        <f t="shared" si="12"/>
        <v>5558.333333333333</v>
      </c>
      <c r="B35" s="20">
        <f t="shared" si="12"/>
        <v>8320.8333333333339</v>
      </c>
      <c r="C35" s="21">
        <f t="shared" si="12"/>
        <v>534.58333333333337</v>
      </c>
      <c r="D35" s="24">
        <v>0.22</v>
      </c>
      <c r="E35" s="23">
        <f t="shared" si="13"/>
        <v>5558.333333333333</v>
      </c>
      <c r="F35" s="88" t="str">
        <f>IF(AND($D$6&lt;&gt;" ",'Pay Check Comparision'!$C$43='Filing Status'!$A$5,$D$6&gt;A35,$D$6&lt;B35),C35+(($D$6-E35)*D35)," ")</f>
        <v xml:space="preserve"> </v>
      </c>
      <c r="G35" s="82" t="str">
        <f>IF(AND($E$6&lt;&gt;" ",'Pay Check Comparision'!$C$43='Filing Status'!$A$5,$E$6&gt;A35,$E$6&lt;B35),C35+(($E$6-E35)*D35)," ")</f>
        <v xml:space="preserve"> </v>
      </c>
      <c r="H35" s="85" t="str">
        <f>IF(AND($F$6&lt;&gt;" ",'Pay Check Comparision'!$C$43='Filing Status'!$A$5,$F$6&gt;A35,$F$6&lt;B35),C35+(($F$6-E35)*D35)," ")</f>
        <v xml:space="preserve"> </v>
      </c>
      <c r="I35" s="19">
        <f t="shared" si="14"/>
        <v>3137.5</v>
      </c>
      <c r="J35" s="20">
        <f t="shared" si="14"/>
        <v>4518.75</v>
      </c>
      <c r="K35" s="21">
        <f t="shared" si="14"/>
        <v>259.16666666666669</v>
      </c>
      <c r="L35" s="24">
        <v>0.22</v>
      </c>
      <c r="M35" s="23">
        <f t="shared" si="15"/>
        <v>3137.5</v>
      </c>
      <c r="N35" s="88" t="str">
        <f>IF(AND($L$6&lt;&gt;" ",'Pay Check Comparision'!$C$43='Filing Status'!$A$5,$L$6&gt;I35,$L$6&lt;J35),K35+(($L$6-M35)*L35)," ")</f>
        <v xml:space="preserve"> </v>
      </c>
      <c r="O35" s="82" t="str">
        <f>IF(AND($M$6&lt;&gt;" ",'Pay Check Comparision'!$C$43='Filing Status'!$A$5,$M$6&gt;I35,$M$6&lt;J35),K35+(($M$6-M35)*L35)," ")</f>
        <v xml:space="preserve"> </v>
      </c>
      <c r="P35" s="89" t="str">
        <f>IF(AND($N$6&lt;&gt;" ",'Pay Check Comparision'!$C$43='Filing Status'!$A$5,$N$6&gt;I35,$N$6&lt;J35),K35+(($N$6-M35)*L35)," ")</f>
        <v xml:space="preserve"> </v>
      </c>
    </row>
    <row r="36" spans="1:16" ht="15.75" x14ac:dyDescent="0.25">
      <c r="A36" s="19">
        <f t="shared" si="12"/>
        <v>8320.8333333333339</v>
      </c>
      <c r="B36" s="20">
        <f t="shared" si="12"/>
        <v>15070.833333333334</v>
      </c>
      <c r="C36" s="21">
        <f t="shared" si="12"/>
        <v>1142.3333333333333</v>
      </c>
      <c r="D36" s="24">
        <v>0.24</v>
      </c>
      <c r="E36" s="23">
        <f t="shared" si="13"/>
        <v>8320.8333333333339</v>
      </c>
      <c r="F36" s="88" t="str">
        <f>IF(AND($D$6&lt;&gt;" ",'Pay Check Comparision'!$C$43='Filing Status'!$A$5,$D$6&gt;A36,$D$6&lt;B36),C36+(($D$6-E36)*D36)," ")</f>
        <v xml:space="preserve"> </v>
      </c>
      <c r="G36" s="82" t="str">
        <f>IF(AND($E$6&lt;&gt;" ",'Pay Check Comparision'!$C$43='Filing Status'!$A$5,$E$6&gt;A36,$E$6&lt;B36),C36+(($E$6-E36)*D36)," ")</f>
        <v xml:space="preserve"> </v>
      </c>
      <c r="H36" s="85" t="str">
        <f>IF(AND($F$6&lt;&gt;" ",'Pay Check Comparision'!$C$43='Filing Status'!$A$5,$F$6&gt;A36,$F$6&lt;B36),C36+(($F$6-E36)*D36)," ")</f>
        <v xml:space="preserve"> </v>
      </c>
      <c r="I36" s="19">
        <f t="shared" si="14"/>
        <v>4518.75</v>
      </c>
      <c r="J36" s="20">
        <f t="shared" si="14"/>
        <v>7893.75</v>
      </c>
      <c r="K36" s="21">
        <f t="shared" si="14"/>
        <v>553.875</v>
      </c>
      <c r="L36" s="24">
        <v>0.24</v>
      </c>
      <c r="M36" s="23">
        <f t="shared" si="15"/>
        <v>4518.75</v>
      </c>
      <c r="N36" s="88" t="str">
        <f>IF(AND($L$6&lt;&gt;" ",'Pay Check Comparision'!$C$43='Filing Status'!$A$5,$L$6&gt;I36,$L$6&lt;J36),K36+(($L$6-M36)*L36)," ")</f>
        <v xml:space="preserve"> </v>
      </c>
      <c r="O36" s="82" t="str">
        <f>IF(AND($M$6&lt;&gt;" ",'Pay Check Comparision'!$C$43='Filing Status'!$A$5,$M$6&gt;I36,$M$6&lt;J36),K36+(($M$6-M36)*L36)," ")</f>
        <v xml:space="preserve"> </v>
      </c>
      <c r="P36" s="89" t="str">
        <f>IF(AND($N$6&lt;&gt;" ",'Pay Check Comparision'!$C$43='Filing Status'!$A$5,$N$6&gt;I36,$N$6&lt;J36),K36+(($N$6-M36)*L36)," ")</f>
        <v xml:space="preserve"> </v>
      </c>
    </row>
    <row r="37" spans="1:16" ht="15.75" x14ac:dyDescent="0.25">
      <c r="A37" s="19">
        <f t="shared" si="12"/>
        <v>15070.833333333334</v>
      </c>
      <c r="B37" s="20">
        <f t="shared" si="12"/>
        <v>18895.833333333332</v>
      </c>
      <c r="C37" s="21">
        <f t="shared" si="12"/>
        <v>2762.3333333333335</v>
      </c>
      <c r="D37" s="24">
        <v>0.32</v>
      </c>
      <c r="E37" s="23">
        <f t="shared" si="13"/>
        <v>15070.833333333334</v>
      </c>
      <c r="F37" s="88" t="str">
        <f>IF(AND($D$6&lt;&gt;" ",'Pay Check Comparision'!$C$43='Filing Status'!$A$5,$D$6&gt;A37,$D$6&lt;B37),C37+(($D$6-E37)*D37)," ")</f>
        <v xml:space="preserve"> </v>
      </c>
      <c r="G37" s="82" t="str">
        <f>IF(AND($E$6&lt;&gt;" ",'Pay Check Comparision'!$C$43='Filing Status'!$A$5,$E$6&gt;A37,$E$6&lt;B37),C37+(($E$6-E37)*D37)," ")</f>
        <v xml:space="preserve"> </v>
      </c>
      <c r="H37" s="85" t="str">
        <f>IF(AND($F$6&lt;&gt;" ",'Pay Check Comparision'!$C$43='Filing Status'!$A$5,$F$6&gt;A37,$F$6&lt;B37),C37+(($F$6-E37)*D37)," ")</f>
        <v xml:space="preserve"> </v>
      </c>
      <c r="I37" s="19">
        <f t="shared" si="14"/>
        <v>7893.75</v>
      </c>
      <c r="J37" s="20">
        <f t="shared" si="14"/>
        <v>9806.25</v>
      </c>
      <c r="K37" s="21">
        <f t="shared" si="14"/>
        <v>1339.375</v>
      </c>
      <c r="L37" s="24">
        <v>0.32</v>
      </c>
      <c r="M37" s="23">
        <f t="shared" si="15"/>
        <v>7893.75</v>
      </c>
      <c r="N37" s="88" t="str">
        <f>IF(AND($L$6&lt;&gt;" ",'Pay Check Comparision'!$C$43='Filing Status'!$A$5,$L$6&gt;I37,$L$6&lt;J37),K37+(($L$6-M37)*L37)," ")</f>
        <v xml:space="preserve"> </v>
      </c>
      <c r="O37" s="82" t="str">
        <f>IF(AND($M$6&lt;&gt;" ",'Pay Check Comparision'!$C$43='Filing Status'!$A$5,$M$6&gt;I37,$M$6&lt;J37),K37+(($M$6-M37)*L37)," ")</f>
        <v xml:space="preserve"> </v>
      </c>
      <c r="P37" s="89" t="str">
        <f>IF(AND($N$6&lt;&gt;" ",'Pay Check Comparision'!$C$43='Filing Status'!$A$5,$N$6&gt;I37,$N$6&lt;J37),K37+(($N$6-M37)*L37)," ")</f>
        <v xml:space="preserve"> </v>
      </c>
    </row>
    <row r="38" spans="1:16" ht="15.75" x14ac:dyDescent="0.25">
      <c r="A38" s="19">
        <f t="shared" si="12"/>
        <v>18895.833333333332</v>
      </c>
      <c r="B38" s="20">
        <f t="shared" si="12"/>
        <v>45891.666666666664</v>
      </c>
      <c r="C38" s="21">
        <f t="shared" si="12"/>
        <v>3986.3333333333335</v>
      </c>
      <c r="D38" s="24">
        <v>0.35</v>
      </c>
      <c r="E38" s="23">
        <f t="shared" si="13"/>
        <v>18895.833333333332</v>
      </c>
      <c r="F38" s="88" t="str">
        <f>IF(AND($D$6&lt;&gt;" ",'Pay Check Comparision'!$C$43='Filing Status'!$A$5,$D$6&gt;A38,$D$6&lt;B38),C38+(($D$6-E38)*D38)," ")</f>
        <v xml:space="preserve"> </v>
      </c>
      <c r="G38" s="82" t="str">
        <f>IF(AND($E$6&lt;&gt;" ",'Pay Check Comparision'!$C$43='Filing Status'!$A$5,$E$6&gt;A38,$E$6&lt;B38),C38+(($E$6-E38)*D38)," ")</f>
        <v xml:space="preserve"> </v>
      </c>
      <c r="H38" s="85" t="str">
        <f>IF(AND($F$6&lt;&gt;" ",'Pay Check Comparision'!$C$43='Filing Status'!$A$5,$F$6&gt;A38,$F$6&lt;B38),C38+(($F$6-E38)*D38)," ")</f>
        <v xml:space="preserve"> </v>
      </c>
      <c r="I38" s="19">
        <f t="shared" si="14"/>
        <v>9806.25</v>
      </c>
      <c r="J38" s="20">
        <f>J80/12</f>
        <v>23304.166666666668</v>
      </c>
      <c r="K38" s="21">
        <f t="shared" ref="K38:K39" si="16">K80/12</f>
        <v>1932.7083333333333</v>
      </c>
      <c r="L38" s="24">
        <v>0.35</v>
      </c>
      <c r="M38" s="23">
        <f t="shared" si="15"/>
        <v>9806.25</v>
      </c>
      <c r="N38" s="88" t="str">
        <f>IF(AND($L$6&lt;&gt;" ",'Pay Check Comparision'!$C$43='Filing Status'!$A$5,$L$6&gt;I38,$L$6&lt;J38),K38+(($L$6-M38)*L38)," ")</f>
        <v xml:space="preserve"> </v>
      </c>
      <c r="O38" s="82" t="str">
        <f>IF(AND($M$6&lt;&gt;" ",'Pay Check Comparision'!$C$43='Filing Status'!$A$5,$M$6&gt;I38,$M$6&lt;J38),K38+(($M$6-M38)*L38)," ")</f>
        <v xml:space="preserve"> </v>
      </c>
      <c r="P38" s="89" t="str">
        <f>IF(AND($N$6&lt;&gt;" ",'Pay Check Comparision'!$C$43='Filing Status'!$A$5,$N$6&gt;I38,$N$6&lt;J38),K38+(($N$6-M38)*L38)," ")</f>
        <v xml:space="preserve"> </v>
      </c>
    </row>
    <row r="39" spans="1:16" ht="15.75" x14ac:dyDescent="0.25">
      <c r="A39" s="19">
        <f t="shared" si="12"/>
        <v>45891.666666666664</v>
      </c>
      <c r="B39" s="25"/>
      <c r="C39" s="21">
        <f t="shared" ref="C39" si="17">C81/12</f>
        <v>13434.875</v>
      </c>
      <c r="D39" s="26">
        <v>0.37</v>
      </c>
      <c r="E39" s="23">
        <f t="shared" si="13"/>
        <v>45891.666666666664</v>
      </c>
      <c r="F39" s="88" t="str">
        <f>IF(AND($D$6&lt;&gt;" ",'Pay Check Comparision'!$C$43='Filing Status'!$A$5,$D$6&gt;A39,$D$6&lt;B39),C39+(($D$6-E39)*D39)," ")</f>
        <v xml:space="preserve"> </v>
      </c>
      <c r="G39" s="82" t="str">
        <f>IF(AND($E$6&lt;&gt;" ",'Pay Check Comparision'!$C$43='Filing Status'!$A$5,$E$6&gt;A39,$E$6&lt;B39),C39+(($E$6-E39)*D39)," ")</f>
        <v xml:space="preserve"> </v>
      </c>
      <c r="H39" s="85" t="str">
        <f>IF(AND($F$6&lt;&gt;" ",'Pay Check Comparision'!$C$43='Filing Status'!$A$5,$F$6&gt;A39,$F$6&lt;B39),C39+(($F$6-E39)*D39)," ")</f>
        <v xml:space="preserve"> </v>
      </c>
      <c r="I39" s="19">
        <f t="shared" si="14"/>
        <v>23304.166666666668</v>
      </c>
      <c r="J39" s="25"/>
      <c r="K39" s="21">
        <f t="shared" si="16"/>
        <v>6514.791666666667</v>
      </c>
      <c r="L39" s="26">
        <v>0.37</v>
      </c>
      <c r="M39" s="23">
        <f t="shared" si="15"/>
        <v>23304.166666666668</v>
      </c>
      <c r="N39" s="88" t="str">
        <f>IF(AND($L$6&lt;&gt;" ",'Pay Check Comparision'!$C$43='Filing Status'!$A$5,$L$6&gt;I39,$L$6&lt;J39),K39+(($L$6-M39)*L39)," ")</f>
        <v xml:space="preserve"> </v>
      </c>
      <c r="O39" s="82" t="str">
        <f>IF(AND($M$6&lt;&gt;" ",'Pay Check Comparision'!$C$43='Filing Status'!$A$5,$M$6&gt;I39,$M$6&lt;J39),K39+(($M$6-M39)*L39)," ")</f>
        <v xml:space="preserve"> </v>
      </c>
      <c r="P39" s="89" t="str">
        <f>IF(AND($N$6&lt;&gt;" ",'Pay Check Comparision'!$C$43='Filing Status'!$A$5,$N$6&gt;I39,$N$6&lt;J39),K39+(($N$6-M39)*L39)," ")</f>
        <v xml:space="preserve"> </v>
      </c>
    </row>
    <row r="40" spans="1:16" x14ac:dyDescent="0.25">
      <c r="I40" s="51"/>
    </row>
    <row r="41" spans="1:16" x14ac:dyDescent="0.25">
      <c r="A41" s="45"/>
      <c r="B41" s="45"/>
      <c r="C41" s="45"/>
      <c r="D41" s="45"/>
      <c r="E41" s="45"/>
      <c r="F41" s="45"/>
      <c r="G41" s="46"/>
      <c r="H41" s="46"/>
      <c r="I41" s="45"/>
      <c r="J41" s="45"/>
      <c r="K41" s="45"/>
      <c r="L41" s="45"/>
      <c r="M41" s="45"/>
    </row>
    <row r="42" spans="1:16" x14ac:dyDescent="0.25">
      <c r="A42" s="45"/>
      <c r="B42" s="45"/>
      <c r="C42" s="45"/>
      <c r="D42" s="45"/>
      <c r="E42" s="45"/>
      <c r="F42" s="45"/>
      <c r="G42" s="46"/>
      <c r="H42" s="46"/>
      <c r="I42" s="45"/>
      <c r="J42" s="45"/>
      <c r="K42" s="45"/>
      <c r="L42" s="45"/>
      <c r="M42" s="45"/>
    </row>
    <row r="44" spans="1:16" x14ac:dyDescent="0.25">
      <c r="A44" s="142" t="s">
        <v>119</v>
      </c>
      <c r="B44" s="142"/>
      <c r="C44" s="142"/>
      <c r="D44" s="142"/>
      <c r="E44" s="142"/>
      <c r="I44" s="143" t="s">
        <v>120</v>
      </c>
      <c r="J44" s="143"/>
      <c r="K44" s="143"/>
      <c r="L44" s="143"/>
      <c r="M44" s="143"/>
    </row>
    <row r="45" spans="1:16" x14ac:dyDescent="0.25">
      <c r="A45" t="s">
        <v>93</v>
      </c>
      <c r="I45" t="s">
        <v>95</v>
      </c>
    </row>
    <row r="46" spans="1:16" x14ac:dyDescent="0.25">
      <c r="A46" t="s">
        <v>94</v>
      </c>
      <c r="I46" t="s">
        <v>96</v>
      </c>
    </row>
    <row r="47" spans="1:16" x14ac:dyDescent="0.25">
      <c r="E47" t="s">
        <v>123</v>
      </c>
      <c r="M47" t="s">
        <v>124</v>
      </c>
    </row>
    <row r="48" spans="1:16" x14ac:dyDescent="0.25">
      <c r="A48" t="s">
        <v>85</v>
      </c>
      <c r="D48" s="17"/>
      <c r="E48" s="53"/>
      <c r="I48" t="s">
        <v>85</v>
      </c>
      <c r="L48" s="3"/>
      <c r="M48" s="54"/>
    </row>
    <row r="49" spans="1:19" x14ac:dyDescent="0.25">
      <c r="C49" t="s">
        <v>102</v>
      </c>
      <c r="K49" t="s">
        <v>102</v>
      </c>
    </row>
    <row r="50" spans="1:19" ht="45" x14ac:dyDescent="0.25">
      <c r="A50" s="13" t="s">
        <v>86</v>
      </c>
      <c r="B50" s="13" t="s">
        <v>87</v>
      </c>
      <c r="C50" s="13" t="s">
        <v>88</v>
      </c>
      <c r="D50" s="13" t="s">
        <v>89</v>
      </c>
      <c r="E50" s="13" t="s">
        <v>90</v>
      </c>
      <c r="F50" s="13"/>
      <c r="G50" s="37"/>
      <c r="H50" s="37"/>
      <c r="I50" s="13" t="s">
        <v>86</v>
      </c>
      <c r="J50" s="13" t="s">
        <v>87</v>
      </c>
      <c r="K50" s="13" t="s">
        <v>88</v>
      </c>
      <c r="L50" s="13" t="s">
        <v>89</v>
      </c>
      <c r="M50" s="13" t="s">
        <v>90</v>
      </c>
    </row>
    <row r="51" spans="1:19" x14ac:dyDescent="0.25">
      <c r="A51" s="31" t="s">
        <v>99</v>
      </c>
      <c r="B51" s="32" t="s">
        <v>16</v>
      </c>
      <c r="C51" s="32" t="s">
        <v>100</v>
      </c>
      <c r="D51" s="32" t="s">
        <v>91</v>
      </c>
      <c r="E51" s="33" t="s">
        <v>101</v>
      </c>
      <c r="I51" s="31" t="s">
        <v>99</v>
      </c>
      <c r="J51" s="32" t="s">
        <v>16</v>
      </c>
      <c r="K51" s="32" t="s">
        <v>100</v>
      </c>
      <c r="L51" s="32" t="s">
        <v>91</v>
      </c>
      <c r="M51" s="33" t="s">
        <v>101</v>
      </c>
    </row>
    <row r="53" spans="1:19" x14ac:dyDescent="0.25">
      <c r="A53" s="28" t="s">
        <v>98</v>
      </c>
      <c r="B53" s="29"/>
      <c r="C53" s="29"/>
      <c r="D53" s="29"/>
      <c r="E53" s="30"/>
      <c r="I53" s="28" t="s">
        <v>98</v>
      </c>
      <c r="J53" s="29"/>
      <c r="K53" s="29"/>
      <c r="L53" s="29"/>
      <c r="M53" s="30"/>
    </row>
    <row r="54" spans="1:19" x14ac:dyDescent="0.25">
      <c r="A54" s="102">
        <v>0</v>
      </c>
      <c r="B54" s="20">
        <f t="shared" ref="B54:B60" si="18">A55</f>
        <v>13000</v>
      </c>
      <c r="C54" s="100">
        <v>0</v>
      </c>
      <c r="D54" s="22">
        <v>0</v>
      </c>
      <c r="E54" s="23">
        <v>0</v>
      </c>
      <c r="I54" s="102">
        <v>0</v>
      </c>
      <c r="J54" s="20">
        <f t="shared" ref="J54:J60" si="19">I55</f>
        <v>12950</v>
      </c>
      <c r="K54" s="100">
        <v>0</v>
      </c>
      <c r="L54" s="22">
        <v>0</v>
      </c>
      <c r="M54" s="23">
        <v>0</v>
      </c>
    </row>
    <row r="55" spans="1:19" x14ac:dyDescent="0.25">
      <c r="A55" s="102">
        <v>13000</v>
      </c>
      <c r="B55" s="20">
        <f t="shared" si="18"/>
        <v>33550</v>
      </c>
      <c r="C55" s="100">
        <v>0</v>
      </c>
      <c r="D55" s="24">
        <v>0.1</v>
      </c>
      <c r="E55" s="23">
        <f t="shared" ref="E55:E61" si="20">B54</f>
        <v>13000</v>
      </c>
      <c r="I55" s="102">
        <v>12950</v>
      </c>
      <c r="J55" s="20">
        <f t="shared" si="19"/>
        <v>23225</v>
      </c>
      <c r="K55" s="100">
        <v>0</v>
      </c>
      <c r="L55" s="24">
        <v>0.1</v>
      </c>
      <c r="M55" s="23">
        <f t="shared" ref="M55:M61" si="21">J54</f>
        <v>12950</v>
      </c>
    </row>
    <row r="56" spans="1:19" x14ac:dyDescent="0.25">
      <c r="A56" s="102">
        <v>33550</v>
      </c>
      <c r="B56" s="20">
        <f t="shared" si="18"/>
        <v>96550</v>
      </c>
      <c r="C56" s="100">
        <v>2055</v>
      </c>
      <c r="D56" s="24">
        <v>0.12</v>
      </c>
      <c r="E56" s="23">
        <f t="shared" si="20"/>
        <v>33550</v>
      </c>
      <c r="I56" s="102">
        <v>23225</v>
      </c>
      <c r="J56" s="20">
        <f t="shared" si="19"/>
        <v>54725</v>
      </c>
      <c r="K56" s="100">
        <v>1027.5</v>
      </c>
      <c r="L56" s="24">
        <v>0.12</v>
      </c>
      <c r="M56" s="23">
        <f t="shared" si="21"/>
        <v>23225</v>
      </c>
      <c r="O56" s="19"/>
      <c r="P56" s="20"/>
      <c r="Q56" s="21"/>
      <c r="R56" s="24"/>
      <c r="S56" s="23"/>
    </row>
    <row r="57" spans="1:19" x14ac:dyDescent="0.25">
      <c r="A57" s="102">
        <v>96550</v>
      </c>
      <c r="B57" s="20">
        <f t="shared" si="18"/>
        <v>191150</v>
      </c>
      <c r="C57" s="100">
        <v>9615</v>
      </c>
      <c r="D57" s="24">
        <v>0.22</v>
      </c>
      <c r="E57" s="23">
        <f t="shared" si="20"/>
        <v>96550</v>
      </c>
      <c r="I57" s="102">
        <v>54725</v>
      </c>
      <c r="J57" s="20">
        <f t="shared" si="19"/>
        <v>102025</v>
      </c>
      <c r="K57" s="100">
        <v>4807.5</v>
      </c>
      <c r="L57" s="24">
        <v>0.22</v>
      </c>
      <c r="M57" s="23">
        <f t="shared" si="21"/>
        <v>54725</v>
      </c>
    </row>
    <row r="58" spans="1:19" x14ac:dyDescent="0.25">
      <c r="A58" s="102">
        <v>191150</v>
      </c>
      <c r="B58" s="20">
        <f t="shared" si="18"/>
        <v>353100</v>
      </c>
      <c r="C58" s="100">
        <v>30427</v>
      </c>
      <c r="D58" s="24">
        <v>0.24</v>
      </c>
      <c r="E58" s="23">
        <f t="shared" si="20"/>
        <v>191150</v>
      </c>
      <c r="I58" s="102">
        <v>102025</v>
      </c>
      <c r="J58" s="20">
        <f t="shared" si="19"/>
        <v>183000</v>
      </c>
      <c r="K58" s="100">
        <v>15213.5</v>
      </c>
      <c r="L58" s="24">
        <v>0.24</v>
      </c>
      <c r="M58" s="23">
        <f t="shared" si="21"/>
        <v>102025</v>
      </c>
    </row>
    <row r="59" spans="1:19" x14ac:dyDescent="0.25">
      <c r="A59" s="102">
        <v>353100</v>
      </c>
      <c r="B59" s="20">
        <f t="shared" si="18"/>
        <v>444900</v>
      </c>
      <c r="C59" s="100">
        <v>69295</v>
      </c>
      <c r="D59" s="24">
        <v>0.32</v>
      </c>
      <c r="E59" s="23">
        <f t="shared" si="20"/>
        <v>353100</v>
      </c>
      <c r="I59" s="102">
        <v>183000</v>
      </c>
      <c r="J59" s="20">
        <f t="shared" si="19"/>
        <v>228900</v>
      </c>
      <c r="K59" s="100">
        <v>34647.5</v>
      </c>
      <c r="L59" s="24">
        <v>0.32</v>
      </c>
      <c r="M59" s="23">
        <f t="shared" si="21"/>
        <v>183000</v>
      </c>
    </row>
    <row r="60" spans="1:19" x14ac:dyDescent="0.25">
      <c r="A60" s="102">
        <v>444900</v>
      </c>
      <c r="B60" s="20">
        <f t="shared" si="18"/>
        <v>660850</v>
      </c>
      <c r="C60" s="100">
        <v>98671</v>
      </c>
      <c r="D60" s="24">
        <v>0.35</v>
      </c>
      <c r="E60" s="23">
        <f t="shared" si="20"/>
        <v>444900</v>
      </c>
      <c r="I60" s="102">
        <v>228900</v>
      </c>
      <c r="J60" s="20">
        <f t="shared" si="19"/>
        <v>336875</v>
      </c>
      <c r="K60" s="100">
        <v>49335.5</v>
      </c>
      <c r="L60" s="24">
        <v>0.35</v>
      </c>
      <c r="M60" s="23">
        <f t="shared" si="21"/>
        <v>228900</v>
      </c>
    </row>
    <row r="61" spans="1:19" x14ac:dyDescent="0.25">
      <c r="A61" s="102">
        <v>660850</v>
      </c>
      <c r="B61" s="20"/>
      <c r="C61" s="100">
        <v>174253.5</v>
      </c>
      <c r="D61" s="24">
        <v>0.37</v>
      </c>
      <c r="E61" s="23">
        <f t="shared" si="20"/>
        <v>660850</v>
      </c>
      <c r="I61" s="102">
        <v>336875</v>
      </c>
      <c r="J61" s="20"/>
      <c r="K61" s="100">
        <v>87126.75</v>
      </c>
      <c r="L61" s="24">
        <v>0.37</v>
      </c>
      <c r="M61" s="23">
        <f t="shared" si="21"/>
        <v>336875</v>
      </c>
    </row>
    <row r="63" spans="1:19" x14ac:dyDescent="0.25">
      <c r="A63" s="28" t="s">
        <v>97</v>
      </c>
      <c r="B63" s="29"/>
      <c r="C63" s="29"/>
      <c r="D63" s="29"/>
      <c r="E63" s="30"/>
      <c r="I63" s="28" t="s">
        <v>97</v>
      </c>
      <c r="J63" s="29"/>
      <c r="K63" s="29"/>
      <c r="L63" s="29"/>
      <c r="M63" s="30"/>
    </row>
    <row r="64" spans="1:19" x14ac:dyDescent="0.25">
      <c r="A64" s="102">
        <v>0</v>
      </c>
      <c r="B64" s="20">
        <f t="shared" ref="B64:B70" si="22">A65</f>
        <v>4350</v>
      </c>
      <c r="C64" s="100">
        <v>0</v>
      </c>
      <c r="D64" s="22">
        <v>0</v>
      </c>
      <c r="E64" s="23">
        <v>0</v>
      </c>
      <c r="F64" s="4"/>
      <c r="G64" s="4"/>
      <c r="H64" s="4"/>
      <c r="I64" s="102">
        <v>0</v>
      </c>
      <c r="J64" s="20">
        <f t="shared" ref="J64:J70" si="23">I65</f>
        <v>6475</v>
      </c>
      <c r="K64" s="100">
        <v>0</v>
      </c>
      <c r="L64" s="22">
        <v>0</v>
      </c>
      <c r="M64" s="23">
        <v>0</v>
      </c>
      <c r="N64" s="4"/>
    </row>
    <row r="65" spans="1:14" x14ac:dyDescent="0.25">
      <c r="A65" s="102">
        <v>4350</v>
      </c>
      <c r="B65" s="20">
        <f t="shared" si="22"/>
        <v>14625</v>
      </c>
      <c r="C65" s="100">
        <v>0</v>
      </c>
      <c r="D65" s="24">
        <v>0.1</v>
      </c>
      <c r="E65" s="23">
        <f t="shared" ref="E65:E71" si="24">B64</f>
        <v>4350</v>
      </c>
      <c r="F65" s="4"/>
      <c r="G65" s="4"/>
      <c r="H65" s="4"/>
      <c r="I65" s="102">
        <v>6475</v>
      </c>
      <c r="J65" s="20">
        <f t="shared" si="23"/>
        <v>11613</v>
      </c>
      <c r="K65" s="100">
        <v>0</v>
      </c>
      <c r="L65" s="24">
        <v>0.1</v>
      </c>
      <c r="M65" s="23">
        <f t="shared" ref="M65:M71" si="25">J64</f>
        <v>6475</v>
      </c>
      <c r="N65" s="4"/>
    </row>
    <row r="66" spans="1:14" x14ac:dyDescent="0.25">
      <c r="A66" s="102">
        <v>14625</v>
      </c>
      <c r="B66" s="20">
        <f t="shared" si="22"/>
        <v>46125</v>
      </c>
      <c r="C66" s="100">
        <v>1027.5</v>
      </c>
      <c r="D66" s="24">
        <v>0.12</v>
      </c>
      <c r="E66" s="23">
        <f t="shared" si="24"/>
        <v>14625</v>
      </c>
      <c r="F66" s="4"/>
      <c r="G66" s="4"/>
      <c r="H66" s="4"/>
      <c r="I66" s="102">
        <v>11613</v>
      </c>
      <c r="J66" s="20">
        <f t="shared" si="23"/>
        <v>27363</v>
      </c>
      <c r="K66" s="100">
        <v>513.75</v>
      </c>
      <c r="L66" s="24">
        <v>0.12</v>
      </c>
      <c r="M66" s="23">
        <f t="shared" si="25"/>
        <v>11613</v>
      </c>
      <c r="N66" s="4"/>
    </row>
    <row r="67" spans="1:14" x14ac:dyDescent="0.25">
      <c r="A67" s="102">
        <v>46125</v>
      </c>
      <c r="B67" s="20">
        <f t="shared" si="22"/>
        <v>93425</v>
      </c>
      <c r="C67" s="100">
        <v>4807.5</v>
      </c>
      <c r="D67" s="24">
        <v>0.22</v>
      </c>
      <c r="E67" s="23">
        <f t="shared" si="24"/>
        <v>46125</v>
      </c>
      <c r="F67" s="4"/>
      <c r="G67" s="4"/>
      <c r="H67" s="4"/>
      <c r="I67" s="102">
        <v>27363</v>
      </c>
      <c r="J67" s="20">
        <f t="shared" si="23"/>
        <v>51013</v>
      </c>
      <c r="K67" s="100">
        <v>2403.75</v>
      </c>
      <c r="L67" s="24">
        <v>0.22</v>
      </c>
      <c r="M67" s="23">
        <f t="shared" si="25"/>
        <v>27363</v>
      </c>
      <c r="N67" s="4"/>
    </row>
    <row r="68" spans="1:14" x14ac:dyDescent="0.25">
      <c r="A68" s="102">
        <v>93425</v>
      </c>
      <c r="B68" s="20">
        <f t="shared" si="22"/>
        <v>174400</v>
      </c>
      <c r="C68" s="100">
        <v>15213.5</v>
      </c>
      <c r="D68" s="24">
        <v>0.24</v>
      </c>
      <c r="E68" s="23">
        <f t="shared" si="24"/>
        <v>93425</v>
      </c>
      <c r="F68" s="4"/>
      <c r="G68" s="4"/>
      <c r="H68" s="4"/>
      <c r="I68" s="102">
        <v>51013</v>
      </c>
      <c r="J68" s="20">
        <f t="shared" si="23"/>
        <v>91500</v>
      </c>
      <c r="K68" s="100">
        <v>7606.75</v>
      </c>
      <c r="L68" s="24">
        <v>0.24</v>
      </c>
      <c r="M68" s="23">
        <f t="shared" si="25"/>
        <v>51013</v>
      </c>
      <c r="N68" s="4"/>
    </row>
    <row r="69" spans="1:14" x14ac:dyDescent="0.25">
      <c r="A69" s="102">
        <v>174400</v>
      </c>
      <c r="B69" s="20">
        <f t="shared" si="22"/>
        <v>220300</v>
      </c>
      <c r="C69" s="100">
        <v>34647.5</v>
      </c>
      <c r="D69" s="24">
        <v>0.32</v>
      </c>
      <c r="E69" s="23">
        <f t="shared" si="24"/>
        <v>174400</v>
      </c>
      <c r="F69" s="4"/>
      <c r="G69" s="4"/>
      <c r="H69" s="4"/>
      <c r="I69" s="102">
        <v>91500</v>
      </c>
      <c r="J69" s="20">
        <f t="shared" si="23"/>
        <v>114450</v>
      </c>
      <c r="K69" s="100">
        <v>17323.75</v>
      </c>
      <c r="L69" s="24">
        <v>0.32</v>
      </c>
      <c r="M69" s="23">
        <f t="shared" si="25"/>
        <v>91500</v>
      </c>
      <c r="N69" s="4"/>
    </row>
    <row r="70" spans="1:14" x14ac:dyDescent="0.25">
      <c r="A70" s="102">
        <v>220300</v>
      </c>
      <c r="B70" s="20">
        <f t="shared" si="22"/>
        <v>544250</v>
      </c>
      <c r="C70" s="100">
        <v>49335.5</v>
      </c>
      <c r="D70" s="24">
        <v>0.35</v>
      </c>
      <c r="E70" s="23">
        <f t="shared" si="24"/>
        <v>220300</v>
      </c>
      <c r="F70" s="4"/>
      <c r="G70" s="4"/>
      <c r="H70" s="4"/>
      <c r="I70" s="102">
        <v>114450</v>
      </c>
      <c r="J70" s="20">
        <f t="shared" si="23"/>
        <v>276425</v>
      </c>
      <c r="K70" s="100">
        <v>24667.75</v>
      </c>
      <c r="L70" s="24">
        <v>0.35</v>
      </c>
      <c r="M70" s="23">
        <f t="shared" si="25"/>
        <v>114450</v>
      </c>
      <c r="N70" s="4"/>
    </row>
    <row r="71" spans="1:14" x14ac:dyDescent="0.25">
      <c r="A71" s="102">
        <v>544250</v>
      </c>
      <c r="B71" s="20"/>
      <c r="C71" s="100">
        <v>162718</v>
      </c>
      <c r="D71" s="24">
        <v>0.37</v>
      </c>
      <c r="E71" s="23">
        <f t="shared" si="24"/>
        <v>544250</v>
      </c>
      <c r="F71" s="4"/>
      <c r="G71" s="4"/>
      <c r="H71" s="4"/>
      <c r="I71" s="102">
        <v>276425</v>
      </c>
      <c r="J71" s="20"/>
      <c r="K71" s="21">
        <v>81359</v>
      </c>
      <c r="L71" s="24">
        <v>0.37</v>
      </c>
      <c r="M71" s="23">
        <f t="shared" si="25"/>
        <v>276425</v>
      </c>
      <c r="N71" s="4"/>
    </row>
    <row r="73" spans="1:14" x14ac:dyDescent="0.25">
      <c r="A73" s="28" t="s">
        <v>9</v>
      </c>
      <c r="B73" s="29"/>
      <c r="C73" s="29"/>
      <c r="D73" s="29"/>
      <c r="E73" s="30"/>
      <c r="I73" s="28" t="s">
        <v>9</v>
      </c>
      <c r="J73" s="29"/>
      <c r="K73" s="29"/>
      <c r="L73" s="29"/>
      <c r="M73" s="30"/>
    </row>
    <row r="74" spans="1:14" x14ac:dyDescent="0.25">
      <c r="A74" s="102">
        <v>0</v>
      </c>
      <c r="B74" s="20">
        <f t="shared" ref="B74:B80" si="26">A75</f>
        <v>10800</v>
      </c>
      <c r="C74" s="100">
        <v>0</v>
      </c>
      <c r="D74" s="22">
        <v>0</v>
      </c>
      <c r="E74" s="23">
        <v>0</v>
      </c>
      <c r="G74"/>
      <c r="H74"/>
      <c r="I74" s="102">
        <v>0</v>
      </c>
      <c r="J74" s="20">
        <f t="shared" ref="J74:J80" si="27">I75</f>
        <v>9700</v>
      </c>
      <c r="K74" s="100">
        <v>0</v>
      </c>
      <c r="L74" s="22">
        <v>0</v>
      </c>
      <c r="M74" s="23">
        <v>0</v>
      </c>
    </row>
    <row r="75" spans="1:14" x14ac:dyDescent="0.25">
      <c r="A75" s="102">
        <v>10800</v>
      </c>
      <c r="B75" s="20">
        <f t="shared" si="26"/>
        <v>24450</v>
      </c>
      <c r="C75" s="100">
        <v>0</v>
      </c>
      <c r="D75" s="24">
        <v>0.1</v>
      </c>
      <c r="E75" s="23">
        <f t="shared" ref="E75:E81" si="28">B74</f>
        <v>10800</v>
      </c>
      <c r="G75"/>
      <c r="H75"/>
      <c r="I75" s="102">
        <v>9700</v>
      </c>
      <c r="J75" s="20">
        <f t="shared" si="27"/>
        <v>17025</v>
      </c>
      <c r="K75" s="100">
        <v>0</v>
      </c>
      <c r="L75" s="24">
        <v>0.1</v>
      </c>
      <c r="M75" s="23">
        <f t="shared" ref="M75:M81" si="29">J74</f>
        <v>9700</v>
      </c>
    </row>
    <row r="76" spans="1:14" x14ac:dyDescent="0.25">
      <c r="A76" s="102">
        <v>24450</v>
      </c>
      <c r="B76" s="20">
        <f t="shared" si="26"/>
        <v>66700</v>
      </c>
      <c r="C76" s="100">
        <v>1465</v>
      </c>
      <c r="D76" s="24">
        <v>0.12</v>
      </c>
      <c r="E76" s="23">
        <f t="shared" si="28"/>
        <v>24450</v>
      </c>
      <c r="G76"/>
      <c r="H76"/>
      <c r="I76" s="102">
        <v>17025</v>
      </c>
      <c r="J76" s="20">
        <f t="shared" si="27"/>
        <v>37650</v>
      </c>
      <c r="K76" s="100">
        <v>710</v>
      </c>
      <c r="L76" s="24">
        <v>0.12</v>
      </c>
      <c r="M76" s="23">
        <f t="shared" si="29"/>
        <v>17025</v>
      </c>
    </row>
    <row r="77" spans="1:14" x14ac:dyDescent="0.25">
      <c r="A77" s="102">
        <v>66700</v>
      </c>
      <c r="B77" s="20">
        <f t="shared" si="26"/>
        <v>99850</v>
      </c>
      <c r="C77" s="100">
        <v>6415</v>
      </c>
      <c r="D77" s="24">
        <v>0.22</v>
      </c>
      <c r="E77" s="23">
        <f t="shared" si="28"/>
        <v>66700</v>
      </c>
      <c r="G77"/>
      <c r="H77"/>
      <c r="I77" s="102">
        <v>37650</v>
      </c>
      <c r="J77" s="20">
        <f t="shared" si="27"/>
        <v>54225</v>
      </c>
      <c r="K77" s="100">
        <v>3110</v>
      </c>
      <c r="L77" s="24">
        <v>0.22</v>
      </c>
      <c r="M77" s="23">
        <f t="shared" si="29"/>
        <v>37650</v>
      </c>
    </row>
    <row r="78" spans="1:14" x14ac:dyDescent="0.25">
      <c r="A78" s="102">
        <v>99850</v>
      </c>
      <c r="B78" s="20">
        <f t="shared" si="26"/>
        <v>180850</v>
      </c>
      <c r="C78" s="100">
        <v>13708</v>
      </c>
      <c r="D78" s="24">
        <v>0.24</v>
      </c>
      <c r="E78" s="23">
        <f t="shared" si="28"/>
        <v>99850</v>
      </c>
      <c r="G78"/>
      <c r="H78"/>
      <c r="I78" s="102">
        <v>54225</v>
      </c>
      <c r="J78" s="20">
        <f t="shared" si="27"/>
        <v>94725</v>
      </c>
      <c r="K78" s="100">
        <v>6646.5</v>
      </c>
      <c r="L78" s="24">
        <v>0.24</v>
      </c>
      <c r="M78" s="23">
        <f t="shared" si="29"/>
        <v>54225</v>
      </c>
    </row>
    <row r="79" spans="1:14" x14ac:dyDescent="0.25">
      <c r="A79" s="102">
        <v>180850</v>
      </c>
      <c r="B79" s="20">
        <f t="shared" si="26"/>
        <v>226750</v>
      </c>
      <c r="C79" s="100">
        <v>33148</v>
      </c>
      <c r="D79" s="24">
        <v>0.32</v>
      </c>
      <c r="E79" s="23">
        <f t="shared" si="28"/>
        <v>180850</v>
      </c>
      <c r="G79"/>
      <c r="H79"/>
      <c r="I79" s="102">
        <v>94725</v>
      </c>
      <c r="J79" s="20">
        <f t="shared" si="27"/>
        <v>117675</v>
      </c>
      <c r="K79" s="100">
        <v>16072.5</v>
      </c>
      <c r="L79" s="24">
        <v>0.32</v>
      </c>
      <c r="M79" s="23">
        <f t="shared" si="29"/>
        <v>94725</v>
      </c>
    </row>
    <row r="80" spans="1:14" x14ac:dyDescent="0.25">
      <c r="A80" s="102">
        <v>226750</v>
      </c>
      <c r="B80" s="20">
        <f t="shared" si="26"/>
        <v>550700</v>
      </c>
      <c r="C80" s="100">
        <v>47836</v>
      </c>
      <c r="D80" s="24">
        <v>0.35</v>
      </c>
      <c r="E80" s="23">
        <f t="shared" si="28"/>
        <v>226750</v>
      </c>
      <c r="G80"/>
      <c r="H80"/>
      <c r="I80" s="102">
        <v>117675</v>
      </c>
      <c r="J80" s="20">
        <f t="shared" si="27"/>
        <v>279650</v>
      </c>
      <c r="K80" s="100">
        <v>23192.5</v>
      </c>
      <c r="L80" s="24">
        <v>0.35</v>
      </c>
      <c r="M80" s="23">
        <f t="shared" si="29"/>
        <v>117675</v>
      </c>
    </row>
    <row r="81" spans="1:13" x14ac:dyDescent="0.25">
      <c r="A81" s="103">
        <v>550700</v>
      </c>
      <c r="B81" s="25"/>
      <c r="C81" s="101">
        <v>161218.5</v>
      </c>
      <c r="D81" s="26">
        <v>0.37</v>
      </c>
      <c r="E81" s="27">
        <f t="shared" si="28"/>
        <v>550700</v>
      </c>
      <c r="G81"/>
      <c r="H81"/>
      <c r="I81" s="103">
        <v>279650</v>
      </c>
      <c r="J81" s="25"/>
      <c r="K81" s="101">
        <v>78177.5</v>
      </c>
      <c r="L81" s="26">
        <v>0.37</v>
      </c>
      <c r="M81" s="27">
        <f t="shared" si="29"/>
        <v>279650</v>
      </c>
    </row>
  </sheetData>
  <sheetProtection algorithmName="SHA-512" hashValue="x/iS4Q7fIjZOJyfzh7X14UQ3h7tymYV8FmlJ9wrKaVJnM8lyjg5kGnvVT6l+wX2+611BX0ah4c3WKEkadWgUwA==" saltValue="AarHggkAxCUkvHmnYyPftw==" spinCount="100000" sheet="1" objects="1" scenarios="1"/>
  <mergeCells count="4">
    <mergeCell ref="A2:E2"/>
    <mergeCell ref="I2:M2"/>
    <mergeCell ref="A44:E44"/>
    <mergeCell ref="I44:M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Pay Check Comparision</vt:lpstr>
      <vt:lpstr>Filing Status</vt:lpstr>
      <vt:lpstr>State Withholding Hidden</vt:lpstr>
      <vt:lpstr>Federal Withholding  Hidden </vt:lpstr>
      <vt:lpstr>2022 Percentage Method Tables</vt:lpstr>
      <vt:lpstr>'Pay Check Comparision'!Print_Area</vt:lpstr>
    </vt:vector>
  </TitlesOfParts>
  <Company>Southeastern Louisiana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Schmitt</dc:creator>
  <cp:lastModifiedBy>Mae Everett</cp:lastModifiedBy>
  <cp:lastPrinted>2022-05-02T19:37:34Z</cp:lastPrinted>
  <dcterms:created xsi:type="dcterms:W3CDTF">2020-01-06T19:06:09Z</dcterms:created>
  <dcterms:modified xsi:type="dcterms:W3CDTF">2022-05-31T03:41:52Z</dcterms:modified>
</cp:coreProperties>
</file>